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306"/>
  <workbookPr showInkAnnotation="0" autoCompressPictures="0"/>
  <bookViews>
    <workbookView xWindow="920" yWindow="0" windowWidth="19800" windowHeight="14420" tabRatio="500"/>
  </bookViews>
  <sheets>
    <sheet name="Figure1" sheetId="21" r:id="rId1"/>
    <sheet name="Figure2" sheetId="22" r:id="rId2"/>
    <sheet name="Figure3" sheetId="23" r:id="rId3"/>
    <sheet name="Figure4" sheetId="26" r:id="rId4"/>
    <sheet name="Figure5" sheetId="35" r:id="rId5"/>
    <sheet name="Table1" sheetId="10" r:id="rId6"/>
    <sheet name="Table2" sheetId="11" r:id="rId7"/>
    <sheet name="Table3" sheetId="28" r:id="rId8"/>
    <sheet name="NFA in dollar" sheetId="2" r:id="rId9"/>
    <sheet name="NFA_in_yen" sheetId="4" r:id="rId10"/>
    <sheet name="Balance_on_income" sheetId="1" r:id="rId11"/>
    <sheet name="yield" sheetId="3" r:id="rId12"/>
    <sheet name="Stock-flow" sheetId="6" r:id="rId13"/>
    <sheet name="Total_return" sheetId="7" r:id="rId14"/>
    <sheet name="FX_effect" sheetId="8" r:id="rId15"/>
    <sheet name="Composition_effect" sheetId="17" r:id="rId16"/>
    <sheet name="NFA and Cumulated CA" sheetId="15" r:id="rId17"/>
    <sheet name="NFA_comparison" sheetId="18" r:id="rId18"/>
    <sheet name="Income_Puzzle" sheetId="20" r:id="rId19"/>
    <sheet name="Composition_A_L" sheetId="25" r:id="rId20"/>
    <sheet name="Debt_Composition" sheetId="34" r:id="rId21"/>
    <sheet name="1977-2013" sheetId="29" r:id="rId22"/>
    <sheet name="Japan_other_studies" sheetId="30" r:id="rId23"/>
    <sheet name="Other_countries" sheetId="33" r:id="rId24"/>
    <sheet name="including_derivatives" sheetId="31" r:id="rId25"/>
    <sheet name="derivatives_table" sheetId="32" r:id="rId26"/>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I5" i="7" l="1"/>
  <c r="AI6" i="7"/>
  <c r="AI7" i="7"/>
  <c r="AI8" i="7"/>
  <c r="AI9" i="7"/>
  <c r="AI10" i="7"/>
  <c r="AI11" i="7"/>
  <c r="AI12" i="7"/>
  <c r="AI13" i="7"/>
  <c r="AI14" i="7"/>
  <c r="AI15" i="7"/>
  <c r="AI16" i="7"/>
  <c r="AI17" i="7"/>
  <c r="AI18" i="7"/>
  <c r="AI19" i="7"/>
  <c r="AI20" i="7"/>
  <c r="AI21" i="7"/>
  <c r="AI4" i="7"/>
  <c r="AH5" i="7"/>
  <c r="AH6" i="7"/>
  <c r="AH7" i="7"/>
  <c r="AH8" i="7"/>
  <c r="AH9" i="7"/>
  <c r="AH10" i="7"/>
  <c r="AH11" i="7"/>
  <c r="AH12" i="7"/>
  <c r="AH13" i="7"/>
  <c r="AH14" i="7"/>
  <c r="AH15" i="7"/>
  <c r="AH16" i="7"/>
  <c r="AH17" i="7"/>
  <c r="AH18" i="7"/>
  <c r="AH19" i="7"/>
  <c r="AH20" i="7"/>
  <c r="AH21" i="7"/>
  <c r="AH4" i="7"/>
  <c r="AG5" i="7"/>
  <c r="AG6" i="7"/>
  <c r="AG7" i="7"/>
  <c r="AG8" i="7"/>
  <c r="AG9" i="7"/>
  <c r="AG10" i="7"/>
  <c r="AG11" i="7"/>
  <c r="AG12" i="7"/>
  <c r="AG13" i="7"/>
  <c r="AG14" i="7"/>
  <c r="AG15" i="7"/>
  <c r="AG16" i="7"/>
  <c r="AG17" i="7"/>
  <c r="AG18" i="7"/>
  <c r="AG19" i="7"/>
  <c r="AG20" i="7"/>
  <c r="AG21" i="7"/>
  <c r="AG4" i="7"/>
  <c r="AF5" i="7"/>
  <c r="AF6" i="7"/>
  <c r="AF7" i="7"/>
  <c r="AF8" i="7"/>
  <c r="AF9" i="7"/>
  <c r="AF10" i="7"/>
  <c r="AF11" i="7"/>
  <c r="AF12" i="7"/>
  <c r="AF13" i="7"/>
  <c r="AF14" i="7"/>
  <c r="AF15" i="7"/>
  <c r="AF16" i="7"/>
  <c r="AF17" i="7"/>
  <c r="AF18" i="7"/>
  <c r="AF19" i="7"/>
  <c r="AF20" i="7"/>
  <c r="AF21" i="7"/>
  <c r="AF4" i="7"/>
  <c r="AE5" i="7"/>
  <c r="AE6" i="7"/>
  <c r="AE7" i="7"/>
  <c r="AE8" i="7"/>
  <c r="AE9" i="7"/>
  <c r="AE10" i="7"/>
  <c r="AE11" i="7"/>
  <c r="AE12" i="7"/>
  <c r="AE13" i="7"/>
  <c r="AE14" i="7"/>
  <c r="AE15" i="7"/>
  <c r="AE16" i="7"/>
  <c r="AE17" i="7"/>
  <c r="AE18" i="7"/>
  <c r="AE19" i="7"/>
  <c r="AE20" i="7"/>
  <c r="AE21" i="7"/>
  <c r="AE4" i="7"/>
  <c r="AD5" i="7"/>
  <c r="AD6" i="7"/>
  <c r="AD7" i="7"/>
  <c r="AD8" i="7"/>
  <c r="AD9" i="7"/>
  <c r="AD10" i="7"/>
  <c r="AD11" i="7"/>
  <c r="AD12" i="7"/>
  <c r="AD13" i="7"/>
  <c r="AD14" i="7"/>
  <c r="AD15" i="7"/>
  <c r="AD16" i="7"/>
  <c r="AD17" i="7"/>
  <c r="AD18" i="7"/>
  <c r="AD19" i="7"/>
  <c r="AD20" i="7"/>
  <c r="AD21" i="7"/>
  <c r="AD4" i="7"/>
  <c r="AC5" i="7"/>
  <c r="AC6" i="7"/>
  <c r="AC7" i="7"/>
  <c r="AC8" i="7"/>
  <c r="AC9" i="7"/>
  <c r="AC10" i="7"/>
  <c r="AC11" i="7"/>
  <c r="AC12" i="7"/>
  <c r="AC13" i="7"/>
  <c r="AC14" i="7"/>
  <c r="AC15" i="7"/>
  <c r="AC16" i="7"/>
  <c r="AC17" i="7"/>
  <c r="AC18" i="7"/>
  <c r="AC19" i="7"/>
  <c r="AC20" i="7"/>
  <c r="AC21" i="7"/>
  <c r="AC4" i="7"/>
  <c r="AB5" i="7"/>
  <c r="AB6" i="7"/>
  <c r="AB7" i="7"/>
  <c r="AB8" i="7"/>
  <c r="AB9" i="7"/>
  <c r="AB10" i="7"/>
  <c r="AB11" i="7"/>
  <c r="AB12" i="7"/>
  <c r="AB13" i="7"/>
  <c r="AB14" i="7"/>
  <c r="AB15" i="7"/>
  <c r="AB16" i="7"/>
  <c r="AB17" i="7"/>
  <c r="AB18" i="7"/>
  <c r="AB19" i="7"/>
  <c r="AB20" i="7"/>
  <c r="AB21" i="7"/>
  <c r="AB4" i="7"/>
  <c r="AA5" i="7"/>
  <c r="AA6" i="7"/>
  <c r="AA7" i="7"/>
  <c r="AA8" i="7"/>
  <c r="AA9" i="7"/>
  <c r="AA10" i="7"/>
  <c r="AA11" i="7"/>
  <c r="AA12" i="7"/>
  <c r="AA13" i="7"/>
  <c r="AA14" i="7"/>
  <c r="AA15" i="7"/>
  <c r="AA16" i="7"/>
  <c r="AA17" i="7"/>
  <c r="AA18" i="7"/>
  <c r="AA19" i="7"/>
  <c r="AA20" i="7"/>
  <c r="AA21" i="7"/>
  <c r="AA4" i="7"/>
  <c r="Z5" i="7"/>
  <c r="Z6" i="7"/>
  <c r="Z7" i="7"/>
  <c r="Z8" i="7"/>
  <c r="Z9" i="7"/>
  <c r="Z10" i="7"/>
  <c r="Z11" i="7"/>
  <c r="Z12" i="7"/>
  <c r="Z13" i="7"/>
  <c r="Z14" i="7"/>
  <c r="Z15" i="7"/>
  <c r="Z16" i="7"/>
  <c r="Z17" i="7"/>
  <c r="Z18" i="7"/>
  <c r="Z19" i="7"/>
  <c r="Z20" i="7"/>
  <c r="Z21" i="7"/>
  <c r="Z4" i="7"/>
  <c r="V5" i="7"/>
  <c r="V6" i="7"/>
  <c r="V7" i="7"/>
  <c r="V8" i="7"/>
  <c r="V9" i="7"/>
  <c r="V10" i="7"/>
  <c r="V11" i="7"/>
  <c r="V12" i="7"/>
  <c r="V13" i="7"/>
  <c r="V14" i="7"/>
  <c r="V15" i="7"/>
  <c r="V16" i="7"/>
  <c r="V17" i="7"/>
  <c r="V18" i="7"/>
  <c r="V19" i="7"/>
  <c r="V20" i="7"/>
  <c r="V21" i="7"/>
  <c r="V4" i="7"/>
  <c r="U5" i="7"/>
  <c r="U6" i="7"/>
  <c r="U7" i="7"/>
  <c r="U8" i="7"/>
  <c r="U9" i="7"/>
  <c r="U10" i="7"/>
  <c r="U11" i="7"/>
  <c r="U12" i="7"/>
  <c r="U13" i="7"/>
  <c r="U14" i="7"/>
  <c r="U15" i="7"/>
  <c r="U16" i="7"/>
  <c r="U17" i="7"/>
  <c r="U18" i="7"/>
  <c r="U19" i="7"/>
  <c r="U20" i="7"/>
  <c r="U21" i="7"/>
  <c r="U4" i="7"/>
  <c r="T5" i="7"/>
  <c r="T6" i="7"/>
  <c r="T7" i="7"/>
  <c r="T8" i="7"/>
  <c r="T9" i="7"/>
  <c r="T10" i="7"/>
  <c r="T11" i="7"/>
  <c r="T12" i="7"/>
  <c r="T13" i="7"/>
  <c r="T14" i="7"/>
  <c r="T15" i="7"/>
  <c r="T16" i="7"/>
  <c r="T17" i="7"/>
  <c r="T18" i="7"/>
  <c r="T19" i="7"/>
  <c r="T20" i="7"/>
  <c r="T21" i="7"/>
  <c r="T4" i="7"/>
  <c r="S5" i="7"/>
  <c r="S6" i="7"/>
  <c r="S7" i="7"/>
  <c r="S8" i="7"/>
  <c r="S9" i="7"/>
  <c r="S10" i="7"/>
  <c r="S11" i="7"/>
  <c r="S12" i="7"/>
  <c r="S13" i="7"/>
  <c r="S14" i="7"/>
  <c r="S15" i="7"/>
  <c r="S16" i="7"/>
  <c r="S17" i="7"/>
  <c r="S18" i="7"/>
  <c r="S19" i="7"/>
  <c r="S20" i="7"/>
  <c r="S21" i="7"/>
  <c r="S4" i="7"/>
  <c r="R5" i="7"/>
  <c r="R6" i="7"/>
  <c r="R7" i="7"/>
  <c r="R8" i="7"/>
  <c r="R9" i="7"/>
  <c r="R10" i="7"/>
  <c r="R11" i="7"/>
  <c r="R12" i="7"/>
  <c r="R13" i="7"/>
  <c r="R14" i="7"/>
  <c r="R15" i="7"/>
  <c r="R16" i="7"/>
  <c r="R17" i="7"/>
  <c r="R18" i="7"/>
  <c r="R19" i="7"/>
  <c r="R20" i="7"/>
  <c r="R21" i="7"/>
  <c r="R4" i="7"/>
  <c r="Q5" i="7"/>
  <c r="Q6" i="7"/>
  <c r="Q7" i="7"/>
  <c r="Q8" i="7"/>
  <c r="Q9" i="7"/>
  <c r="Q10" i="7"/>
  <c r="Q11" i="7"/>
  <c r="Q12" i="7"/>
  <c r="Q13" i="7"/>
  <c r="Q14" i="7"/>
  <c r="Q15" i="7"/>
  <c r="Q16" i="7"/>
  <c r="Q17" i="7"/>
  <c r="Q18" i="7"/>
  <c r="Q19" i="7"/>
  <c r="Q20" i="7"/>
  <c r="Q21" i="7"/>
  <c r="Q4" i="7"/>
  <c r="P5" i="7"/>
  <c r="P6" i="7"/>
  <c r="P7" i="7"/>
  <c r="P8" i="7"/>
  <c r="P9" i="7"/>
  <c r="P10" i="7"/>
  <c r="P11" i="7"/>
  <c r="P12" i="7"/>
  <c r="P13" i="7"/>
  <c r="P14" i="7"/>
  <c r="P15" i="7"/>
  <c r="P16" i="7"/>
  <c r="P17" i="7"/>
  <c r="P18" i="7"/>
  <c r="P19" i="7"/>
  <c r="P20" i="7"/>
  <c r="P21" i="7"/>
  <c r="P4" i="7"/>
  <c r="O5" i="7"/>
  <c r="O6" i="7"/>
  <c r="O7" i="7"/>
  <c r="O8" i="7"/>
  <c r="O9" i="7"/>
  <c r="O10" i="7"/>
  <c r="O11" i="7"/>
  <c r="O12" i="7"/>
  <c r="O13" i="7"/>
  <c r="O14" i="7"/>
  <c r="O15" i="7"/>
  <c r="O16" i="7"/>
  <c r="O17" i="7"/>
  <c r="O18" i="7"/>
  <c r="O19" i="7"/>
  <c r="O20" i="7"/>
  <c r="O21" i="7"/>
  <c r="O4" i="7"/>
  <c r="N21" i="7"/>
  <c r="N5" i="7"/>
  <c r="N6" i="7"/>
  <c r="N7" i="7"/>
  <c r="N8" i="7"/>
  <c r="N9" i="7"/>
  <c r="N10" i="7"/>
  <c r="N11" i="7"/>
  <c r="N12" i="7"/>
  <c r="N13" i="7"/>
  <c r="N14" i="7"/>
  <c r="N15" i="7"/>
  <c r="N16" i="7"/>
  <c r="N17" i="7"/>
  <c r="N18" i="7"/>
  <c r="N19" i="7"/>
  <c r="N20" i="7"/>
  <c r="N4" i="7"/>
  <c r="M5" i="7"/>
  <c r="M6" i="7"/>
  <c r="M7" i="7"/>
  <c r="M8" i="7"/>
  <c r="M9" i="7"/>
  <c r="M10" i="7"/>
  <c r="M11" i="7"/>
  <c r="M12" i="7"/>
  <c r="M13" i="7"/>
  <c r="M14" i="7"/>
  <c r="M15" i="7"/>
  <c r="M16" i="7"/>
  <c r="M17" i="7"/>
  <c r="M18" i="7"/>
  <c r="M19" i="7"/>
  <c r="M20" i="7"/>
  <c r="M21" i="7"/>
  <c r="M4" i="7"/>
  <c r="BF5" i="6"/>
  <c r="BF6" i="6"/>
  <c r="BF7" i="6"/>
  <c r="BF8" i="6"/>
  <c r="BF9" i="6"/>
  <c r="BF10" i="6"/>
  <c r="BF11" i="6"/>
  <c r="BF12" i="6"/>
  <c r="BF13" i="6"/>
  <c r="BF14" i="6"/>
  <c r="BF15" i="6"/>
  <c r="BF16" i="6"/>
  <c r="BF17" i="6"/>
  <c r="BF18" i="6"/>
  <c r="BF19" i="6"/>
  <c r="BF20" i="6"/>
  <c r="BF21" i="6"/>
  <c r="BF4" i="6"/>
  <c r="BA5" i="6"/>
  <c r="BA6" i="6"/>
  <c r="BA7" i="6"/>
  <c r="BA8" i="6"/>
  <c r="BA9" i="6"/>
  <c r="BA10" i="6"/>
  <c r="BA11" i="6"/>
  <c r="BA12" i="6"/>
  <c r="BA13" i="6"/>
  <c r="BA14" i="6"/>
  <c r="BA15" i="6"/>
  <c r="BA16" i="6"/>
  <c r="BA17" i="6"/>
  <c r="BA18" i="6"/>
  <c r="BA19" i="6"/>
  <c r="BA20" i="6"/>
  <c r="BA21" i="6"/>
  <c r="BA4" i="6"/>
  <c r="AZ5" i="6"/>
  <c r="AZ6" i="6"/>
  <c r="AZ7" i="6"/>
  <c r="AZ8" i="6"/>
  <c r="AZ9" i="6"/>
  <c r="AZ10" i="6"/>
  <c r="AZ11" i="6"/>
  <c r="AZ12" i="6"/>
  <c r="AZ13" i="6"/>
  <c r="AZ14" i="6"/>
  <c r="AZ15" i="6"/>
  <c r="AZ16" i="6"/>
  <c r="AZ17" i="6"/>
  <c r="AZ18" i="6"/>
  <c r="AZ19" i="6"/>
  <c r="AZ20" i="6"/>
  <c r="AZ21" i="6"/>
  <c r="AZ4" i="6"/>
  <c r="AY5" i="6"/>
  <c r="AY6" i="6"/>
  <c r="AY7" i="6"/>
  <c r="AY8" i="6"/>
  <c r="AY9" i="6"/>
  <c r="AY10" i="6"/>
  <c r="AY11" i="6"/>
  <c r="AY12" i="6"/>
  <c r="AY13" i="6"/>
  <c r="AY14" i="6"/>
  <c r="AY15" i="6"/>
  <c r="AY16" i="6"/>
  <c r="AY17" i="6"/>
  <c r="AY18" i="6"/>
  <c r="AY19" i="6"/>
  <c r="AY20" i="6"/>
  <c r="AY21" i="6"/>
  <c r="AY4" i="6"/>
  <c r="AX5" i="6"/>
  <c r="AX6" i="6"/>
  <c r="AX7" i="6"/>
  <c r="AX8" i="6"/>
  <c r="AX9" i="6"/>
  <c r="AX10" i="6"/>
  <c r="AX11" i="6"/>
  <c r="AX12" i="6"/>
  <c r="AX13" i="6"/>
  <c r="AX14" i="6"/>
  <c r="AX15" i="6"/>
  <c r="AX16" i="6"/>
  <c r="AX17" i="6"/>
  <c r="AX18" i="6"/>
  <c r="AX19" i="6"/>
  <c r="AX20" i="6"/>
  <c r="AX21" i="6"/>
  <c r="AX4" i="6"/>
  <c r="AP5" i="6"/>
  <c r="AP6" i="6"/>
  <c r="AP7" i="6"/>
  <c r="AP8" i="6"/>
  <c r="AP9" i="6"/>
  <c r="AP10" i="6"/>
  <c r="AP11" i="6"/>
  <c r="AP12" i="6"/>
  <c r="AP13" i="6"/>
  <c r="AP14" i="6"/>
  <c r="AP15" i="6"/>
  <c r="AP16" i="6"/>
  <c r="AP17" i="6"/>
  <c r="AP18" i="6"/>
  <c r="AP19" i="6"/>
  <c r="AP20" i="6"/>
  <c r="AP21" i="6"/>
  <c r="AP4" i="6"/>
  <c r="AO5" i="6"/>
  <c r="AO6" i="6"/>
  <c r="AO7" i="6"/>
  <c r="AO8" i="6"/>
  <c r="AO9" i="6"/>
  <c r="AO10" i="6"/>
  <c r="AO11" i="6"/>
  <c r="AO12" i="6"/>
  <c r="AO13" i="6"/>
  <c r="AO14" i="6"/>
  <c r="AO15" i="6"/>
  <c r="AO16" i="6"/>
  <c r="AO17" i="6"/>
  <c r="AO18" i="6"/>
  <c r="AO19" i="6"/>
  <c r="AO20" i="6"/>
  <c r="AO21" i="6"/>
  <c r="AO4" i="6"/>
  <c r="AN5" i="6"/>
  <c r="AN6" i="6"/>
  <c r="AN7" i="6"/>
  <c r="AN8" i="6"/>
  <c r="AN9" i="6"/>
  <c r="AN10" i="6"/>
  <c r="AN11" i="6"/>
  <c r="AN12" i="6"/>
  <c r="AN13" i="6"/>
  <c r="AN14" i="6"/>
  <c r="AN15" i="6"/>
  <c r="AN16" i="6"/>
  <c r="AN17" i="6"/>
  <c r="AN18" i="6"/>
  <c r="AN19" i="6"/>
  <c r="AN20" i="6"/>
  <c r="AN21" i="6"/>
  <c r="AN4" i="6"/>
  <c r="AM5" i="6"/>
  <c r="AM6" i="6"/>
  <c r="AM7" i="6"/>
  <c r="AM8" i="6"/>
  <c r="AM9" i="6"/>
  <c r="AM10" i="6"/>
  <c r="AM11" i="6"/>
  <c r="AM12" i="6"/>
  <c r="AM13" i="6"/>
  <c r="AM14" i="6"/>
  <c r="AM15" i="6"/>
  <c r="AM16" i="6"/>
  <c r="AM17" i="6"/>
  <c r="AM18" i="6"/>
  <c r="AM19" i="6"/>
  <c r="AM20" i="6"/>
  <c r="AM21" i="6"/>
  <c r="AM4" i="6"/>
  <c r="AE5" i="6"/>
  <c r="AE6" i="6"/>
  <c r="AE7" i="6"/>
  <c r="AE8" i="6"/>
  <c r="AE9" i="6"/>
  <c r="AE10" i="6"/>
  <c r="AE11" i="6"/>
  <c r="AE12" i="6"/>
  <c r="AE13" i="6"/>
  <c r="AE14" i="6"/>
  <c r="AE15" i="6"/>
  <c r="AE16" i="6"/>
  <c r="AE17" i="6"/>
  <c r="AE18" i="6"/>
  <c r="AE19" i="6"/>
  <c r="AE20" i="6"/>
  <c r="AE21" i="6"/>
  <c r="AE4" i="6"/>
  <c r="AD5" i="6"/>
  <c r="AD6" i="6"/>
  <c r="AD7" i="6"/>
  <c r="AD8" i="6"/>
  <c r="AD9" i="6"/>
  <c r="AD10" i="6"/>
  <c r="AD11" i="6"/>
  <c r="AD12" i="6"/>
  <c r="AD13" i="6"/>
  <c r="AD14" i="6"/>
  <c r="AD15" i="6"/>
  <c r="AD16" i="6"/>
  <c r="AD17" i="6"/>
  <c r="AD18" i="6"/>
  <c r="AD19" i="6"/>
  <c r="AD20" i="6"/>
  <c r="AD21" i="6"/>
  <c r="AD4" i="6"/>
  <c r="AC5" i="6"/>
  <c r="AC6" i="6"/>
  <c r="AC7" i="6"/>
  <c r="AC8" i="6"/>
  <c r="AC9" i="6"/>
  <c r="AC10" i="6"/>
  <c r="AC11" i="6"/>
  <c r="AC12" i="6"/>
  <c r="AC13" i="6"/>
  <c r="AC14" i="6"/>
  <c r="AC15" i="6"/>
  <c r="AC16" i="6"/>
  <c r="AC17" i="6"/>
  <c r="AC18" i="6"/>
  <c r="AC19" i="6"/>
  <c r="AC20" i="6"/>
  <c r="AC21" i="6"/>
  <c r="AC4" i="6"/>
  <c r="AB5" i="6"/>
  <c r="AB6" i="6"/>
  <c r="AB7" i="6"/>
  <c r="AB8" i="6"/>
  <c r="AB9" i="6"/>
  <c r="AB10" i="6"/>
  <c r="AB11" i="6"/>
  <c r="AB12" i="6"/>
  <c r="AB13" i="6"/>
  <c r="AB14" i="6"/>
  <c r="AB15" i="6"/>
  <c r="AB16" i="6"/>
  <c r="AB17" i="6"/>
  <c r="AB18" i="6"/>
  <c r="AB19" i="6"/>
  <c r="AB20" i="6"/>
  <c r="AB21" i="6"/>
  <c r="AB4" i="6"/>
  <c r="T5" i="6"/>
  <c r="T6" i="6"/>
  <c r="T7" i="6"/>
  <c r="T8" i="6"/>
  <c r="T9" i="6"/>
  <c r="T10" i="6"/>
  <c r="T11" i="6"/>
  <c r="T12" i="6"/>
  <c r="T13" i="6"/>
  <c r="T14" i="6"/>
  <c r="T15" i="6"/>
  <c r="T16" i="6"/>
  <c r="T17" i="6"/>
  <c r="T18" i="6"/>
  <c r="T19" i="6"/>
  <c r="T20" i="6"/>
  <c r="T21" i="6"/>
  <c r="T4" i="6"/>
  <c r="S5" i="6"/>
  <c r="S6" i="6"/>
  <c r="S7" i="6"/>
  <c r="S8" i="6"/>
  <c r="S9" i="6"/>
  <c r="S10" i="6"/>
  <c r="S11" i="6"/>
  <c r="S12" i="6"/>
  <c r="S13" i="6"/>
  <c r="S14" i="6"/>
  <c r="S15" i="6"/>
  <c r="S16" i="6"/>
  <c r="S17" i="6"/>
  <c r="S18" i="6"/>
  <c r="S19" i="6"/>
  <c r="S20" i="6"/>
  <c r="S21" i="6"/>
  <c r="S4" i="6"/>
  <c r="R5" i="6"/>
  <c r="R6" i="6"/>
  <c r="R7" i="6"/>
  <c r="R8" i="6"/>
  <c r="R9" i="6"/>
  <c r="R10" i="6"/>
  <c r="R11" i="6"/>
  <c r="R12" i="6"/>
  <c r="R13" i="6"/>
  <c r="R14" i="6"/>
  <c r="R15" i="6"/>
  <c r="R16" i="6"/>
  <c r="R17" i="6"/>
  <c r="R18" i="6"/>
  <c r="R19" i="6"/>
  <c r="R20" i="6"/>
  <c r="R21" i="6"/>
  <c r="R4" i="6"/>
  <c r="Q5" i="6"/>
  <c r="Q6" i="6"/>
  <c r="Q7" i="6"/>
  <c r="Q8" i="6"/>
  <c r="Q9" i="6"/>
  <c r="Q10" i="6"/>
  <c r="Q11" i="6"/>
  <c r="Q12" i="6"/>
  <c r="Q13" i="6"/>
  <c r="Q14" i="6"/>
  <c r="Q15" i="6"/>
  <c r="Q16" i="6"/>
  <c r="Q17" i="6"/>
  <c r="Q18" i="6"/>
  <c r="Q19" i="6"/>
  <c r="Q20" i="6"/>
  <c r="Q21" i="6"/>
  <c r="Q4" i="6"/>
  <c r="I5" i="6"/>
  <c r="I6" i="6"/>
  <c r="I7" i="6"/>
  <c r="I8" i="6"/>
  <c r="I9" i="6"/>
  <c r="I10" i="6"/>
  <c r="I11" i="6"/>
  <c r="I12" i="6"/>
  <c r="I13" i="6"/>
  <c r="I14" i="6"/>
  <c r="I15" i="6"/>
  <c r="I16" i="6"/>
  <c r="I17" i="6"/>
  <c r="I18" i="6"/>
  <c r="I19" i="6"/>
  <c r="I20" i="6"/>
  <c r="I21" i="6"/>
  <c r="I4" i="6"/>
  <c r="H5" i="6"/>
  <c r="H6" i="6"/>
  <c r="H7" i="6"/>
  <c r="H8" i="6"/>
  <c r="H9" i="6"/>
  <c r="H10" i="6"/>
  <c r="H11" i="6"/>
  <c r="H12" i="6"/>
  <c r="H13" i="6"/>
  <c r="H14" i="6"/>
  <c r="H15" i="6"/>
  <c r="H16" i="6"/>
  <c r="H17" i="6"/>
  <c r="H18" i="6"/>
  <c r="H19" i="6"/>
  <c r="H20" i="6"/>
  <c r="H21" i="6"/>
  <c r="H4" i="6"/>
  <c r="G5" i="6"/>
  <c r="G6" i="6"/>
  <c r="G7" i="6"/>
  <c r="G8" i="6"/>
  <c r="G9" i="6"/>
  <c r="G10" i="6"/>
  <c r="G11" i="6"/>
  <c r="G12" i="6"/>
  <c r="G13" i="6"/>
  <c r="G14" i="6"/>
  <c r="G15" i="6"/>
  <c r="G16" i="6"/>
  <c r="G17" i="6"/>
  <c r="G18" i="6"/>
  <c r="G19" i="6"/>
  <c r="G20" i="6"/>
  <c r="G21" i="6"/>
  <c r="G4" i="6"/>
  <c r="F21" i="6"/>
  <c r="F20" i="6"/>
  <c r="F19" i="6"/>
  <c r="F18" i="6"/>
  <c r="F17" i="6"/>
  <c r="F16" i="6"/>
  <c r="F15" i="6"/>
  <c r="F14" i="6"/>
  <c r="F13" i="6"/>
  <c r="F12" i="6"/>
  <c r="F11" i="6"/>
  <c r="F10" i="6"/>
  <c r="F9" i="6"/>
  <c r="F8" i="6"/>
  <c r="F7" i="6"/>
  <c r="F6" i="6"/>
  <c r="F5" i="6"/>
  <c r="F4" i="6"/>
  <c r="BI16" i="31"/>
  <c r="BH16" i="31"/>
  <c r="BG16" i="31"/>
  <c r="BF16" i="31"/>
  <c r="BE16" i="31"/>
  <c r="BI15" i="31"/>
  <c r="BH15" i="31"/>
  <c r="BG15" i="31"/>
  <c r="BF15" i="31"/>
  <c r="BE15" i="31"/>
  <c r="BI14" i="31"/>
  <c r="BH14" i="31"/>
  <c r="BG14" i="31"/>
  <c r="BF14" i="31"/>
  <c r="BE14" i="31"/>
  <c r="BI13" i="31"/>
  <c r="BH13" i="31"/>
  <c r="BG13" i="31"/>
  <c r="BF13" i="31"/>
  <c r="BE13" i="31"/>
  <c r="BI12" i="31"/>
  <c r="BH12" i="31"/>
  <c r="BG12" i="31"/>
  <c r="BF12" i="31"/>
  <c r="BE12" i="31"/>
  <c r="BI11" i="31"/>
  <c r="BH11" i="31"/>
  <c r="BG11" i="31"/>
  <c r="BF11" i="31"/>
  <c r="BE11" i="31"/>
  <c r="BI10" i="31"/>
  <c r="BH10" i="31"/>
  <c r="BG10" i="31"/>
  <c r="BF10" i="31"/>
  <c r="BE10" i="31"/>
  <c r="BI9" i="31"/>
  <c r="BH9" i="31"/>
  <c r="BG9" i="31"/>
  <c r="BF9" i="31"/>
  <c r="BE9" i="31"/>
  <c r="BI8" i="31"/>
  <c r="BH8" i="31"/>
  <c r="BG8" i="31"/>
  <c r="BF8" i="31"/>
  <c r="BE8" i="31"/>
  <c r="BI7" i="31"/>
  <c r="BH7" i="31"/>
  <c r="BG7" i="31"/>
  <c r="BF7" i="31"/>
  <c r="BE7" i="31"/>
  <c r="BI6" i="31"/>
  <c r="BH6" i="31"/>
  <c r="BG6" i="31"/>
  <c r="BF6" i="31"/>
  <c r="BE6" i="31"/>
  <c r="BI5" i="31"/>
  <c r="BH5" i="31"/>
  <c r="BG5" i="31"/>
  <c r="BF5" i="31"/>
  <c r="BE5" i="31"/>
  <c r="BI4" i="31"/>
  <c r="BH4" i="31"/>
  <c r="BG4" i="31"/>
  <c r="BF4" i="31"/>
  <c r="BE4" i="31"/>
  <c r="X5" i="3"/>
  <c r="X6" i="3"/>
  <c r="X7" i="3"/>
  <c r="X8" i="3"/>
  <c r="X9" i="3"/>
  <c r="X10" i="3"/>
  <c r="X11" i="3"/>
  <c r="X12" i="3"/>
  <c r="X13" i="3"/>
  <c r="X14" i="3"/>
  <c r="X15" i="3"/>
  <c r="X16" i="3"/>
  <c r="X17" i="3"/>
  <c r="X18" i="3"/>
  <c r="X19" i="3"/>
  <c r="X20" i="3"/>
  <c r="X21" i="3"/>
  <c r="D40" i="32"/>
  <c r="CC16" i="31"/>
  <c r="CP16" i="31"/>
  <c r="CC4" i="31"/>
  <c r="CP4" i="31"/>
  <c r="CC5" i="31"/>
  <c r="CP5" i="31"/>
  <c r="CC6" i="31"/>
  <c r="CP6" i="31"/>
  <c r="CC7" i="31"/>
  <c r="CP7" i="31"/>
  <c r="CC8" i="31"/>
  <c r="CP8" i="31"/>
  <c r="CC9" i="31"/>
  <c r="CP9" i="31"/>
  <c r="CC10" i="31"/>
  <c r="CP10" i="31"/>
  <c r="CC11" i="31"/>
  <c r="CP11" i="31"/>
  <c r="CC12" i="31"/>
  <c r="CP12" i="31"/>
  <c r="CC13" i="31"/>
  <c r="CP13" i="31"/>
  <c r="CC14" i="31"/>
  <c r="CP14" i="31"/>
  <c r="CC15" i="31"/>
  <c r="CP15" i="31"/>
  <c r="CP18" i="31"/>
  <c r="E40" i="32"/>
  <c r="F40" i="32"/>
  <c r="D41" i="32"/>
  <c r="EF16" i="31"/>
  <c r="ES16" i="31"/>
  <c r="EF4" i="31"/>
  <c r="ES4" i="31"/>
  <c r="EF5" i="31"/>
  <c r="ES5" i="31"/>
  <c r="EF6" i="31"/>
  <c r="ES6" i="31"/>
  <c r="EF7" i="31"/>
  <c r="ES7" i="31"/>
  <c r="EF8" i="31"/>
  <c r="ES8" i="31"/>
  <c r="EF9" i="31"/>
  <c r="ES9" i="31"/>
  <c r="EF10" i="31"/>
  <c r="ES10" i="31"/>
  <c r="EF11" i="31"/>
  <c r="ES11" i="31"/>
  <c r="EF12" i="31"/>
  <c r="ES12" i="31"/>
  <c r="EF13" i="31"/>
  <c r="ES13" i="31"/>
  <c r="EF14" i="31"/>
  <c r="ES14" i="31"/>
  <c r="EF15" i="31"/>
  <c r="ES15" i="31"/>
  <c r="ES18" i="31"/>
  <c r="E41" i="32"/>
  <c r="F41" i="32"/>
  <c r="AJ23" i="3"/>
  <c r="C31" i="20"/>
  <c r="C32" i="20"/>
  <c r="C33" i="20"/>
  <c r="C34" i="20"/>
  <c r="C35" i="20"/>
  <c r="C36" i="20"/>
  <c r="C37" i="20"/>
  <c r="C38" i="20"/>
  <c r="C39" i="20"/>
  <c r="C40" i="20"/>
  <c r="C41" i="20"/>
  <c r="C42" i="20"/>
  <c r="C43" i="20"/>
  <c r="C44" i="20"/>
  <c r="C45" i="20"/>
  <c r="C46" i="20"/>
  <c r="C47" i="20"/>
  <c r="C30" i="20"/>
  <c r="C29" i="20"/>
  <c r="C5" i="20"/>
  <c r="C6" i="20"/>
  <c r="C7" i="20"/>
  <c r="C8" i="20"/>
  <c r="C9" i="20"/>
  <c r="C10" i="20"/>
  <c r="C11" i="20"/>
  <c r="C12" i="20"/>
  <c r="C13" i="20"/>
  <c r="C14" i="20"/>
  <c r="C15" i="20"/>
  <c r="C16" i="20"/>
  <c r="C17" i="20"/>
  <c r="C18" i="20"/>
  <c r="C19" i="20"/>
  <c r="C20" i="20"/>
  <c r="C21" i="20"/>
  <c r="C22" i="20"/>
  <c r="C23" i="20"/>
  <c r="C24" i="20"/>
  <c r="C25" i="20"/>
  <c r="C26" i="20"/>
  <c r="C27" i="20"/>
  <c r="C28" i="20"/>
  <c r="C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 i="20"/>
  <c r="D47" i="20"/>
  <c r="D5" i="20"/>
  <c r="D6" i="20"/>
  <c r="D7" i="20"/>
  <c r="D8" i="20"/>
  <c r="D9" i="20"/>
  <c r="D10"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 i="20"/>
  <c r="K28" i="25"/>
  <c r="K3" i="25"/>
  <c r="K4" i="25"/>
  <c r="K5" i="25"/>
  <c r="K6" i="25"/>
  <c r="K7" i="25"/>
  <c r="K8" i="25"/>
  <c r="K9" i="25"/>
  <c r="K10" i="25"/>
  <c r="K11" i="25"/>
  <c r="K12" i="25"/>
  <c r="K13" i="25"/>
  <c r="K14" i="25"/>
  <c r="K15" i="25"/>
  <c r="K16" i="25"/>
  <c r="K17" i="25"/>
  <c r="K18" i="25"/>
  <c r="K19" i="25"/>
  <c r="K20" i="25"/>
  <c r="K21" i="25"/>
  <c r="K22" i="25"/>
  <c r="K23" i="25"/>
  <c r="K24" i="25"/>
  <c r="K25" i="25"/>
  <c r="K26" i="25"/>
  <c r="K27" i="25"/>
  <c r="K29" i="25"/>
  <c r="K30" i="25"/>
  <c r="K31" i="25"/>
  <c r="K32" i="25"/>
  <c r="K33" i="25"/>
  <c r="K34" i="25"/>
  <c r="K35" i="25"/>
  <c r="K36" i="25"/>
  <c r="K37" i="25"/>
  <c r="K38" i="25"/>
  <c r="K39" i="25"/>
  <c r="K40" i="25"/>
  <c r="K41" i="25"/>
  <c r="K42" i="25"/>
  <c r="K43" i="25"/>
  <c r="K44" i="25"/>
  <c r="K2" i="25"/>
  <c r="J45" i="25"/>
  <c r="J44" i="25"/>
  <c r="J43" i="25"/>
  <c r="J42" i="25"/>
  <c r="J41" i="25"/>
  <c r="J40" i="25"/>
  <c r="J39" i="25"/>
  <c r="J38" i="25"/>
  <c r="J37" i="25"/>
  <c r="J36" i="25"/>
  <c r="J35" i="25"/>
  <c r="J34" i="25"/>
  <c r="J33" i="25"/>
  <c r="J32" i="25"/>
  <c r="J31" i="25"/>
  <c r="J30" i="25"/>
  <c r="J29" i="25"/>
  <c r="J28" i="25"/>
  <c r="J13" i="25"/>
  <c r="J14" i="25"/>
  <c r="J15" i="25"/>
  <c r="J16" i="25"/>
  <c r="J17" i="25"/>
  <c r="J18" i="25"/>
  <c r="J19" i="25"/>
  <c r="J20" i="25"/>
  <c r="J21" i="25"/>
  <c r="J22" i="25"/>
  <c r="J23" i="25"/>
  <c r="J24" i="25"/>
  <c r="J25" i="25"/>
  <c r="J26" i="25"/>
  <c r="J27" i="25"/>
  <c r="J12" i="25"/>
  <c r="I29" i="25"/>
  <c r="I30" i="25"/>
  <c r="I31" i="25"/>
  <c r="I32" i="25"/>
  <c r="I33" i="25"/>
  <c r="I34" i="25"/>
  <c r="I35" i="25"/>
  <c r="I36" i="25"/>
  <c r="I37" i="25"/>
  <c r="I38" i="25"/>
  <c r="I39" i="25"/>
  <c r="I40" i="25"/>
  <c r="I41" i="25"/>
  <c r="I42" i="25"/>
  <c r="I43" i="25"/>
  <c r="I44" i="25"/>
  <c r="I45" i="25"/>
  <c r="I28" i="25"/>
  <c r="I13" i="25"/>
  <c r="I14" i="25"/>
  <c r="I15" i="25"/>
  <c r="I16" i="25"/>
  <c r="I17" i="25"/>
  <c r="I18" i="25"/>
  <c r="I19" i="25"/>
  <c r="I20" i="25"/>
  <c r="I21" i="25"/>
  <c r="I22" i="25"/>
  <c r="I23" i="25"/>
  <c r="I24" i="25"/>
  <c r="I25" i="25"/>
  <c r="I26" i="25"/>
  <c r="I27" i="25"/>
  <c r="I12" i="25"/>
  <c r="H29" i="25"/>
  <c r="H30" i="25"/>
  <c r="H31" i="25"/>
  <c r="H32" i="25"/>
  <c r="H33" i="25"/>
  <c r="H34" i="25"/>
  <c r="H35" i="25"/>
  <c r="H36" i="25"/>
  <c r="H37" i="25"/>
  <c r="H38" i="25"/>
  <c r="H39" i="25"/>
  <c r="H40" i="25"/>
  <c r="H41" i="25"/>
  <c r="H42" i="25"/>
  <c r="H43" i="25"/>
  <c r="H44" i="25"/>
  <c r="H45" i="25"/>
  <c r="H28" i="25"/>
  <c r="H3" i="25"/>
  <c r="H4" i="25"/>
  <c r="H5" i="25"/>
  <c r="H6" i="25"/>
  <c r="H7" i="25"/>
  <c r="H8" i="25"/>
  <c r="H9" i="25"/>
  <c r="H10" i="25"/>
  <c r="H11" i="25"/>
  <c r="H12" i="25"/>
  <c r="H13" i="25"/>
  <c r="H14" i="25"/>
  <c r="H15" i="25"/>
  <c r="H16" i="25"/>
  <c r="H17" i="25"/>
  <c r="H18" i="25"/>
  <c r="H19" i="25"/>
  <c r="H20" i="25"/>
  <c r="H21" i="25"/>
  <c r="H22" i="25"/>
  <c r="H23" i="25"/>
  <c r="H24" i="25"/>
  <c r="H25" i="25"/>
  <c r="H26" i="25"/>
  <c r="H27" i="25"/>
  <c r="H2" i="25"/>
  <c r="G29" i="25"/>
  <c r="G30" i="25"/>
  <c r="G31" i="25"/>
  <c r="G32" i="25"/>
  <c r="G33" i="25"/>
  <c r="G34" i="25"/>
  <c r="G35" i="25"/>
  <c r="G36" i="25"/>
  <c r="G37" i="25"/>
  <c r="G38" i="25"/>
  <c r="G39" i="25"/>
  <c r="G40" i="25"/>
  <c r="G41" i="25"/>
  <c r="G42" i="25"/>
  <c r="G43" i="25"/>
  <c r="G44" i="25"/>
  <c r="G45" i="25"/>
  <c r="G28" i="25"/>
  <c r="G3" i="25"/>
  <c r="G4" i="25"/>
  <c r="G5" i="25"/>
  <c r="G6" i="25"/>
  <c r="G7" i="25"/>
  <c r="G8" i="25"/>
  <c r="G9" i="25"/>
  <c r="G10" i="25"/>
  <c r="G11" i="25"/>
  <c r="G12" i="25"/>
  <c r="G13" i="25"/>
  <c r="G14" i="25"/>
  <c r="G15" i="25"/>
  <c r="G16" i="25"/>
  <c r="G17" i="25"/>
  <c r="G18" i="25"/>
  <c r="G19" i="25"/>
  <c r="G20" i="25"/>
  <c r="G21" i="25"/>
  <c r="G22" i="25"/>
  <c r="G23" i="25"/>
  <c r="G24" i="25"/>
  <c r="G25" i="25"/>
  <c r="G26" i="25"/>
  <c r="G27" i="25"/>
  <c r="G2" i="25"/>
  <c r="F29" i="25"/>
  <c r="F30" i="25"/>
  <c r="F31" i="25"/>
  <c r="F32" i="25"/>
  <c r="F33" i="25"/>
  <c r="F34" i="25"/>
  <c r="F35" i="25"/>
  <c r="F36" i="25"/>
  <c r="F37" i="25"/>
  <c r="F38" i="25"/>
  <c r="F39" i="25"/>
  <c r="F40" i="25"/>
  <c r="F41" i="25"/>
  <c r="F42" i="25"/>
  <c r="F43" i="25"/>
  <c r="F44" i="25"/>
  <c r="F45" i="25"/>
  <c r="F28" i="25"/>
  <c r="E29" i="25"/>
  <c r="E30" i="25"/>
  <c r="E31" i="25"/>
  <c r="E32" i="25"/>
  <c r="E33" i="25"/>
  <c r="E34" i="25"/>
  <c r="E35" i="25"/>
  <c r="E36" i="25"/>
  <c r="E37" i="25"/>
  <c r="E38" i="25"/>
  <c r="E39" i="25"/>
  <c r="E40" i="25"/>
  <c r="E41" i="25"/>
  <c r="E42" i="25"/>
  <c r="E43" i="25"/>
  <c r="E44" i="25"/>
  <c r="E45" i="25"/>
  <c r="E28" i="25"/>
  <c r="E3" i="25"/>
  <c r="E4" i="25"/>
  <c r="E5" i="25"/>
  <c r="E6" i="25"/>
  <c r="E7" i="25"/>
  <c r="E8" i="25"/>
  <c r="E9" i="25"/>
  <c r="E10" i="25"/>
  <c r="E11" i="25"/>
  <c r="E12" i="25"/>
  <c r="E13" i="25"/>
  <c r="E14" i="25"/>
  <c r="E15" i="25"/>
  <c r="E16" i="25"/>
  <c r="E17" i="25"/>
  <c r="E18" i="25"/>
  <c r="E19" i="25"/>
  <c r="E20" i="25"/>
  <c r="E21" i="25"/>
  <c r="E22" i="25"/>
  <c r="E23" i="25"/>
  <c r="E24" i="25"/>
  <c r="E25" i="25"/>
  <c r="E26" i="25"/>
  <c r="E27" i="25"/>
  <c r="E2" i="25"/>
  <c r="D29" i="25"/>
  <c r="D30" i="25"/>
  <c r="D31" i="25"/>
  <c r="D32" i="25"/>
  <c r="D33" i="25"/>
  <c r="D34" i="25"/>
  <c r="D35" i="25"/>
  <c r="D36" i="25"/>
  <c r="D37" i="25"/>
  <c r="D38" i="25"/>
  <c r="D39" i="25"/>
  <c r="D40" i="25"/>
  <c r="D41" i="25"/>
  <c r="D42" i="25"/>
  <c r="D43" i="25"/>
  <c r="D44" i="25"/>
  <c r="D45" i="25"/>
  <c r="D28" i="25"/>
  <c r="D3" i="25"/>
  <c r="D4" i="25"/>
  <c r="D5" i="25"/>
  <c r="D6" i="25"/>
  <c r="D7" i="25"/>
  <c r="D8" i="25"/>
  <c r="D9" i="25"/>
  <c r="D10" i="25"/>
  <c r="D11" i="25"/>
  <c r="D12" i="25"/>
  <c r="D13" i="25"/>
  <c r="D14" i="25"/>
  <c r="D15" i="25"/>
  <c r="D16" i="25"/>
  <c r="D17" i="25"/>
  <c r="D18" i="25"/>
  <c r="D19" i="25"/>
  <c r="D20" i="25"/>
  <c r="D21" i="25"/>
  <c r="D22" i="25"/>
  <c r="D23" i="25"/>
  <c r="D24" i="25"/>
  <c r="D25" i="25"/>
  <c r="D26" i="25"/>
  <c r="D27" i="25"/>
  <c r="D2" i="25"/>
  <c r="C29" i="25"/>
  <c r="C30" i="25"/>
  <c r="C31" i="25"/>
  <c r="C32" i="25"/>
  <c r="C33" i="25"/>
  <c r="C34" i="25"/>
  <c r="C35" i="25"/>
  <c r="C36" i="25"/>
  <c r="C37" i="25"/>
  <c r="C38" i="25"/>
  <c r="C39" i="25"/>
  <c r="C40" i="25"/>
  <c r="C41" i="25"/>
  <c r="C42" i="25"/>
  <c r="C43" i="25"/>
  <c r="C44" i="25"/>
  <c r="C45" i="25"/>
  <c r="C28" i="25"/>
  <c r="C3" i="25"/>
  <c r="C4" i="25"/>
  <c r="C5" i="25"/>
  <c r="C6" i="25"/>
  <c r="C7" i="25"/>
  <c r="C8" i="25"/>
  <c r="C9" i="25"/>
  <c r="C10" i="25"/>
  <c r="C11" i="25"/>
  <c r="C12" i="25"/>
  <c r="C13" i="25"/>
  <c r="C14" i="25"/>
  <c r="C15" i="25"/>
  <c r="C16" i="25"/>
  <c r="C17" i="25"/>
  <c r="C18" i="25"/>
  <c r="C19" i="25"/>
  <c r="C20" i="25"/>
  <c r="C21" i="25"/>
  <c r="C22" i="25"/>
  <c r="C23" i="25"/>
  <c r="C24" i="25"/>
  <c r="C25" i="25"/>
  <c r="C26" i="25"/>
  <c r="C27" i="25"/>
  <c r="C2" i="25"/>
  <c r="B45" i="25"/>
  <c r="B44" i="25"/>
  <c r="B43" i="25"/>
  <c r="B42" i="25"/>
  <c r="B41" i="25"/>
  <c r="B40" i="25"/>
  <c r="B39" i="25"/>
  <c r="B38" i="25"/>
  <c r="B37" i="25"/>
  <c r="B36" i="25"/>
  <c r="B35" i="25"/>
  <c r="B34" i="25"/>
  <c r="B33" i="25"/>
  <c r="B32" i="25"/>
  <c r="B31" i="25"/>
  <c r="B30" i="25"/>
  <c r="B29" i="25"/>
  <c r="B28" i="25"/>
  <c r="B3" i="25"/>
  <c r="B4" i="25"/>
  <c r="B5" i="25"/>
  <c r="B6" i="25"/>
  <c r="B7" i="25"/>
  <c r="B8" i="25"/>
  <c r="B9" i="25"/>
  <c r="B10" i="25"/>
  <c r="B11" i="25"/>
  <c r="B12" i="25"/>
  <c r="B13" i="25"/>
  <c r="B14" i="25"/>
  <c r="B15" i="25"/>
  <c r="B16" i="25"/>
  <c r="B17" i="25"/>
  <c r="B18" i="25"/>
  <c r="B19" i="25"/>
  <c r="B20" i="25"/>
  <c r="B21" i="25"/>
  <c r="B22" i="25"/>
  <c r="B23" i="25"/>
  <c r="B24" i="25"/>
  <c r="B25" i="25"/>
  <c r="B26" i="25"/>
  <c r="B27" i="25"/>
  <c r="B2" i="25"/>
  <c r="HH18" i="31"/>
  <c r="HF16" i="31"/>
  <c r="HG16" i="31"/>
  <c r="HH16" i="31"/>
  <c r="HC16" i="31"/>
  <c r="HD16" i="31"/>
  <c r="GW18" i="31"/>
  <c r="GX18" i="31"/>
  <c r="GY18" i="31"/>
  <c r="GZ18" i="31"/>
  <c r="GV18" i="31"/>
  <c r="GV16" i="31"/>
  <c r="GW16" i="31"/>
  <c r="GX16" i="31"/>
  <c r="GY16" i="31"/>
  <c r="GZ16" i="31"/>
  <c r="GK18" i="31"/>
  <c r="GL18" i="31"/>
  <c r="GM18" i="31"/>
  <c r="GN18" i="31"/>
  <c r="GO18" i="31"/>
  <c r="GP18" i="31"/>
  <c r="GQ18" i="31"/>
  <c r="GR18" i="31"/>
  <c r="GS18" i="31"/>
  <c r="GT18" i="31"/>
  <c r="GJ18" i="31"/>
  <c r="FY16" i="31"/>
  <c r="FZ16" i="31"/>
  <c r="GA16" i="31"/>
  <c r="GB16" i="31"/>
  <c r="GC16" i="31"/>
  <c r="GD16" i="31"/>
  <c r="GE16" i="31"/>
  <c r="GF16" i="31"/>
  <c r="GG16" i="31"/>
  <c r="GH16" i="31"/>
  <c r="GI16" i="31"/>
  <c r="GJ16" i="31"/>
  <c r="GK16" i="31"/>
  <c r="GL16" i="31"/>
  <c r="GM16" i="31"/>
  <c r="GN16" i="31"/>
  <c r="GO16" i="31"/>
  <c r="GP16" i="31"/>
  <c r="GQ16" i="31"/>
  <c r="GR16" i="31"/>
  <c r="GS16" i="31"/>
  <c r="GT16" i="31"/>
  <c r="FT18" i="31"/>
  <c r="FU18" i="31"/>
  <c r="FV18" i="31"/>
  <c r="FW18" i="31"/>
  <c r="FS18" i="31"/>
  <c r="FS16" i="31"/>
  <c r="FT16" i="31"/>
  <c r="FU16" i="31"/>
  <c r="FV16" i="31"/>
  <c r="FW16" i="31"/>
  <c r="FH18" i="31"/>
  <c r="FI18" i="31"/>
  <c r="FJ18" i="31"/>
  <c r="FK18" i="31"/>
  <c r="FL18" i="31"/>
  <c r="FM18" i="31"/>
  <c r="FN18" i="31"/>
  <c r="FO18" i="31"/>
  <c r="FP18" i="31"/>
  <c r="FQ18" i="31"/>
  <c r="FG18" i="31"/>
  <c r="EV16" i="31"/>
  <c r="EW16" i="31"/>
  <c r="EX16" i="31"/>
  <c r="EY16" i="31"/>
  <c r="EZ16" i="31"/>
  <c r="FA16" i="31"/>
  <c r="FB16" i="31"/>
  <c r="FC16" i="31"/>
  <c r="FD16" i="31"/>
  <c r="FE16" i="31"/>
  <c r="FF16" i="31"/>
  <c r="FG16" i="31"/>
  <c r="FH16" i="31"/>
  <c r="FI16" i="31"/>
  <c r="FJ16" i="31"/>
  <c r="FK16" i="31"/>
  <c r="FL16" i="31"/>
  <c r="FM16" i="31"/>
  <c r="FN16" i="31"/>
  <c r="FO16" i="31"/>
  <c r="FP16" i="31"/>
  <c r="FQ16" i="31"/>
  <c r="EI18" i="31"/>
  <c r="EJ18" i="31"/>
  <c r="EK18" i="31"/>
  <c r="EL18" i="31"/>
  <c r="EM18" i="31"/>
  <c r="EN18" i="31"/>
  <c r="EO18" i="31"/>
  <c r="EP18" i="31"/>
  <c r="EQ18" i="31"/>
  <c r="ER18" i="31"/>
  <c r="ET18" i="31"/>
  <c r="EH18" i="31"/>
  <c r="DU16" i="31"/>
  <c r="DV16" i="31"/>
  <c r="DW16" i="31"/>
  <c r="DX16" i="31"/>
  <c r="DY16" i="31"/>
  <c r="DZ16" i="31"/>
  <c r="EA16" i="31"/>
  <c r="EB16" i="31"/>
  <c r="EC16" i="31"/>
  <c r="ED16" i="31"/>
  <c r="EE16" i="31"/>
  <c r="EG16" i="31"/>
  <c r="EH16" i="31"/>
  <c r="EI16" i="31"/>
  <c r="EJ16" i="31"/>
  <c r="EK16" i="31"/>
  <c r="EL16" i="31"/>
  <c r="EM16" i="31"/>
  <c r="EN16" i="31"/>
  <c r="EO16" i="31"/>
  <c r="EP16" i="31"/>
  <c r="EQ16" i="31"/>
  <c r="ER16" i="31"/>
  <c r="ET16" i="31"/>
  <c r="DK18" i="31"/>
  <c r="DL18" i="31"/>
  <c r="DM18" i="31"/>
  <c r="DN18" i="31"/>
  <c r="DO18" i="31"/>
  <c r="DP18" i="31"/>
  <c r="DQ18" i="31"/>
  <c r="DR18" i="31"/>
  <c r="DS18" i="31"/>
  <c r="DJ18" i="31"/>
  <c r="CZ16" i="31"/>
  <c r="DA16" i="31"/>
  <c r="DB16" i="31"/>
  <c r="DC16" i="31"/>
  <c r="DD16" i="31"/>
  <c r="DE16" i="31"/>
  <c r="DF16" i="31"/>
  <c r="DG16" i="31"/>
  <c r="DH16" i="31"/>
  <c r="DI16" i="31"/>
  <c r="DJ16" i="31"/>
  <c r="DK16" i="31"/>
  <c r="DL16" i="31"/>
  <c r="DM16" i="31"/>
  <c r="DN16" i="31"/>
  <c r="DO16" i="31"/>
  <c r="DP16" i="31"/>
  <c r="DQ16" i="31"/>
  <c r="DR16" i="31"/>
  <c r="DS16" i="31"/>
  <c r="CT18" i="31"/>
  <c r="CU18" i="31"/>
  <c r="CV18" i="31"/>
  <c r="CW16" i="31"/>
  <c r="CW4" i="31"/>
  <c r="CW5" i="31"/>
  <c r="CW6" i="31"/>
  <c r="CW7" i="31"/>
  <c r="CW8" i="31"/>
  <c r="CW9" i="31"/>
  <c r="CW10" i="31"/>
  <c r="CW11" i="31"/>
  <c r="CW12" i="31"/>
  <c r="CW13" i="31"/>
  <c r="CW14" i="31"/>
  <c r="CW15" i="31"/>
  <c r="CW18" i="31"/>
  <c r="CX18" i="31"/>
  <c r="CS18" i="31"/>
  <c r="CS16" i="31"/>
  <c r="CT16" i="31"/>
  <c r="CU16" i="31"/>
  <c r="CV16" i="31"/>
  <c r="CX16" i="31"/>
  <c r="CF18" i="31"/>
  <c r="CG18" i="31"/>
  <c r="CH18" i="31"/>
  <c r="CI18" i="31"/>
  <c r="CJ18" i="31"/>
  <c r="CK18" i="31"/>
  <c r="CL18" i="31"/>
  <c r="CM18" i="31"/>
  <c r="CN18" i="31"/>
  <c r="CO18" i="31"/>
  <c r="CQ18" i="31"/>
  <c r="CE18" i="31"/>
  <c r="BR16" i="31"/>
  <c r="BS16" i="31"/>
  <c r="BT16" i="31"/>
  <c r="BU16" i="31"/>
  <c r="BV16" i="31"/>
  <c r="BW16" i="31"/>
  <c r="BX16" i="31"/>
  <c r="BY16" i="31"/>
  <c r="BZ16" i="31"/>
  <c r="CA16" i="31"/>
  <c r="CB16" i="31"/>
  <c r="CD16" i="31"/>
  <c r="CE16" i="31"/>
  <c r="CF16" i="31"/>
  <c r="CG16" i="31"/>
  <c r="CH16" i="31"/>
  <c r="CI16" i="31"/>
  <c r="CJ16" i="31"/>
  <c r="CK16" i="31"/>
  <c r="CL16" i="31"/>
  <c r="CM16" i="31"/>
  <c r="CN16" i="31"/>
  <c r="CO16" i="31"/>
  <c r="CQ16" i="31"/>
  <c r="BP16" i="31"/>
  <c r="B16" i="31"/>
  <c r="C16" i="31"/>
  <c r="D16" i="31"/>
  <c r="E16" i="31"/>
  <c r="F16" i="31"/>
  <c r="G16" i="31"/>
  <c r="H16" i="31"/>
  <c r="I16" i="31"/>
  <c r="J16" i="31"/>
  <c r="K16" i="31"/>
  <c r="L16" i="31"/>
  <c r="M16" i="31"/>
  <c r="N16" i="31"/>
  <c r="O16" i="31"/>
  <c r="P16" i="31"/>
  <c r="Q16" i="31"/>
  <c r="R16" i="31"/>
  <c r="S16" i="31"/>
  <c r="T16" i="31"/>
  <c r="U16" i="31"/>
  <c r="V16" i="31"/>
  <c r="W16" i="31"/>
  <c r="X16" i="31"/>
  <c r="Y16" i="31"/>
  <c r="Z16" i="31"/>
  <c r="AA16" i="31"/>
  <c r="AB16" i="31"/>
  <c r="AC16" i="31"/>
  <c r="AD16" i="31"/>
  <c r="AE16" i="31"/>
  <c r="AF16" i="31"/>
  <c r="AG16" i="31"/>
  <c r="AH16" i="31"/>
  <c r="AI16" i="31"/>
  <c r="AJ16" i="31"/>
  <c r="AK16" i="31"/>
  <c r="AL16" i="31"/>
  <c r="AM16" i="31"/>
  <c r="AN16" i="31"/>
  <c r="AO16" i="31"/>
  <c r="AP16" i="31"/>
  <c r="AQ16" i="31"/>
  <c r="AR16" i="31"/>
  <c r="AS16" i="31"/>
  <c r="AT16" i="31"/>
  <c r="AU16" i="31"/>
  <c r="AV16" i="31"/>
  <c r="AW16" i="31"/>
  <c r="AX16" i="31"/>
  <c r="AY16" i="31"/>
  <c r="AZ16" i="31"/>
  <c r="BA16" i="31"/>
  <c r="BB16" i="31"/>
  <c r="BC16" i="31"/>
  <c r="BD16" i="31"/>
  <c r="BJ16" i="31"/>
  <c r="BK16" i="31"/>
  <c r="BL16" i="31"/>
  <c r="BM16" i="31"/>
  <c r="BN16" i="31"/>
  <c r="U5" i="31"/>
  <c r="V5" i="31"/>
  <c r="W5" i="31"/>
  <c r="X5" i="31"/>
  <c r="Y5" i="31"/>
  <c r="Z5" i="31"/>
  <c r="U6" i="31"/>
  <c r="V6" i="31"/>
  <c r="W6" i="31"/>
  <c r="X6" i="31"/>
  <c r="Y6" i="31"/>
  <c r="Z6" i="31"/>
  <c r="U7" i="31"/>
  <c r="V7" i="31"/>
  <c r="W7" i="31"/>
  <c r="X7" i="31"/>
  <c r="Y7" i="31"/>
  <c r="Z7" i="31"/>
  <c r="U8" i="31"/>
  <c r="V8" i="31"/>
  <c r="W8" i="31"/>
  <c r="X8" i="31"/>
  <c r="Y8" i="31"/>
  <c r="Z8" i="31"/>
  <c r="U9" i="31"/>
  <c r="V9" i="31"/>
  <c r="W9" i="31"/>
  <c r="X9" i="31"/>
  <c r="Y9" i="31"/>
  <c r="Z9" i="31"/>
  <c r="U10" i="31"/>
  <c r="V10" i="31"/>
  <c r="W10" i="31"/>
  <c r="X10" i="31"/>
  <c r="Y10" i="31"/>
  <c r="Z10" i="31"/>
  <c r="U11" i="31"/>
  <c r="V11" i="31"/>
  <c r="W11" i="31"/>
  <c r="X11" i="31"/>
  <c r="Y11" i="31"/>
  <c r="Z11" i="31"/>
  <c r="U12" i="31"/>
  <c r="V12" i="31"/>
  <c r="W12" i="31"/>
  <c r="X12" i="31"/>
  <c r="Y12" i="31"/>
  <c r="Z12" i="31"/>
  <c r="U13" i="31"/>
  <c r="V13" i="31"/>
  <c r="W13" i="31"/>
  <c r="X13" i="31"/>
  <c r="Y13" i="31"/>
  <c r="Z13" i="31"/>
  <c r="U14" i="31"/>
  <c r="V14" i="31"/>
  <c r="W14" i="31"/>
  <c r="X14" i="31"/>
  <c r="Y14" i="31"/>
  <c r="Z14" i="31"/>
  <c r="U15" i="31"/>
  <c r="V15" i="31"/>
  <c r="W15" i="31"/>
  <c r="X15" i="31"/>
  <c r="Y15" i="31"/>
  <c r="Z15" i="31"/>
  <c r="V4" i="31"/>
  <c r="W4" i="31"/>
  <c r="X4" i="31"/>
  <c r="Y4" i="31"/>
  <c r="Z4" i="31"/>
  <c r="AD30" i="29"/>
  <c r="AE30" i="29"/>
  <c r="AF30" i="29"/>
  <c r="AD31" i="29"/>
  <c r="AE31" i="29"/>
  <c r="AF31" i="29"/>
  <c r="AD32" i="29"/>
  <c r="AE32" i="29"/>
  <c r="AF32" i="29"/>
  <c r="AD33" i="29"/>
  <c r="AE33" i="29"/>
  <c r="AF33" i="29"/>
  <c r="AD34" i="29"/>
  <c r="AE34" i="29"/>
  <c r="AF34" i="29"/>
  <c r="AD35" i="29"/>
  <c r="AE35" i="29"/>
  <c r="AF35" i="29"/>
  <c r="AD36" i="29"/>
  <c r="AE36" i="29"/>
  <c r="AF36" i="29"/>
  <c r="AD37" i="29"/>
  <c r="AE37" i="29"/>
  <c r="AF37" i="29"/>
  <c r="AD38" i="29"/>
  <c r="AE38" i="29"/>
  <c r="AF38" i="29"/>
  <c r="AD39" i="29"/>
  <c r="AE39" i="29"/>
  <c r="AF39" i="29"/>
  <c r="AD40" i="29"/>
  <c r="AE40" i="29"/>
  <c r="AF40" i="29"/>
  <c r="AD41" i="29"/>
  <c r="AE41" i="29"/>
  <c r="AF41" i="29"/>
  <c r="AD42" i="29"/>
  <c r="AE42" i="29"/>
  <c r="AF42" i="29"/>
  <c r="AD43" i="29"/>
  <c r="AE43" i="29"/>
  <c r="AF43" i="29"/>
  <c r="AD44" i="29"/>
  <c r="AE44" i="29"/>
  <c r="AF44" i="29"/>
  <c r="AD45" i="29"/>
  <c r="AE45" i="29"/>
  <c r="AF45" i="29"/>
  <c r="AD46" i="29"/>
  <c r="AE46" i="29"/>
  <c r="AF46" i="29"/>
  <c r="AD47" i="29"/>
  <c r="AE47" i="29"/>
  <c r="AF47" i="29"/>
  <c r="AP8" i="29"/>
  <c r="AO8" i="29"/>
  <c r="AH30" i="29"/>
  <c r="AI30" i="29"/>
  <c r="AJ30" i="29"/>
  <c r="AH31" i="29"/>
  <c r="AI31" i="29"/>
  <c r="AJ31" i="29"/>
  <c r="AH32" i="29"/>
  <c r="AI32" i="29"/>
  <c r="AJ32" i="29"/>
  <c r="AH33" i="29"/>
  <c r="AI33" i="29"/>
  <c r="AJ33" i="29"/>
  <c r="AH34" i="29"/>
  <c r="AI34" i="29"/>
  <c r="AJ34" i="29"/>
  <c r="AH35" i="29"/>
  <c r="AI35" i="29"/>
  <c r="AJ35" i="29"/>
  <c r="AH36" i="29"/>
  <c r="AI36" i="29"/>
  <c r="AJ36" i="29"/>
  <c r="AH37" i="29"/>
  <c r="AI37" i="29"/>
  <c r="AJ37" i="29"/>
  <c r="AH38" i="29"/>
  <c r="AI38" i="29"/>
  <c r="AJ38" i="29"/>
  <c r="AH39" i="29"/>
  <c r="AI39" i="29"/>
  <c r="AJ39" i="29"/>
  <c r="AH40" i="29"/>
  <c r="AI40" i="29"/>
  <c r="AJ40" i="29"/>
  <c r="AH41" i="29"/>
  <c r="AI41" i="29"/>
  <c r="AJ41" i="29"/>
  <c r="AH42" i="29"/>
  <c r="AI42" i="29"/>
  <c r="AJ42" i="29"/>
  <c r="AH43" i="29"/>
  <c r="AI43" i="29"/>
  <c r="AJ43" i="29"/>
  <c r="AH44" i="29"/>
  <c r="AI44" i="29"/>
  <c r="AJ44" i="29"/>
  <c r="AH45" i="29"/>
  <c r="AI45" i="29"/>
  <c r="AJ45" i="29"/>
  <c r="AH46" i="29"/>
  <c r="AI46" i="29"/>
  <c r="AJ46" i="29"/>
  <c r="AH47" i="29"/>
  <c r="AI47" i="29"/>
  <c r="AJ47" i="29"/>
  <c r="AN8" i="29"/>
  <c r="B11" i="29"/>
  <c r="E11" i="29"/>
  <c r="B10" i="29"/>
  <c r="E10" i="29"/>
  <c r="Q11" i="29"/>
  <c r="T11" i="29"/>
  <c r="AH11" i="29"/>
  <c r="C11" i="29"/>
  <c r="F11" i="29"/>
  <c r="C10" i="29"/>
  <c r="F10" i="29"/>
  <c r="R11" i="29"/>
  <c r="U11" i="29"/>
  <c r="AI11" i="29"/>
  <c r="AJ11" i="29"/>
  <c r="B12" i="29"/>
  <c r="E12" i="29"/>
  <c r="Q12" i="29"/>
  <c r="T12" i="29"/>
  <c r="AH12" i="29"/>
  <c r="C12" i="29"/>
  <c r="F12" i="29"/>
  <c r="R12" i="29"/>
  <c r="U12" i="29"/>
  <c r="AI12" i="29"/>
  <c r="AJ12" i="29"/>
  <c r="B13" i="29"/>
  <c r="E13" i="29"/>
  <c r="Q13" i="29"/>
  <c r="T13" i="29"/>
  <c r="AH13" i="29"/>
  <c r="C13" i="29"/>
  <c r="F13" i="29"/>
  <c r="R13" i="29"/>
  <c r="U13" i="29"/>
  <c r="AI13" i="29"/>
  <c r="AJ13" i="29"/>
  <c r="B14" i="29"/>
  <c r="E14" i="29"/>
  <c r="Q14" i="29"/>
  <c r="T14" i="29"/>
  <c r="AH14" i="29"/>
  <c r="C14" i="29"/>
  <c r="F14" i="29"/>
  <c r="R14" i="29"/>
  <c r="U14" i="29"/>
  <c r="AI14" i="29"/>
  <c r="AJ14" i="29"/>
  <c r="B15" i="29"/>
  <c r="E15" i="29"/>
  <c r="Q15" i="29"/>
  <c r="T15" i="29"/>
  <c r="AH15" i="29"/>
  <c r="C15" i="29"/>
  <c r="F15" i="29"/>
  <c r="R15" i="29"/>
  <c r="U15" i="29"/>
  <c r="AI15" i="29"/>
  <c r="AJ15" i="29"/>
  <c r="B16" i="29"/>
  <c r="E16" i="29"/>
  <c r="Q16" i="29"/>
  <c r="T16" i="29"/>
  <c r="AH16" i="29"/>
  <c r="C16" i="29"/>
  <c r="F16" i="29"/>
  <c r="R16" i="29"/>
  <c r="U16" i="29"/>
  <c r="AI16" i="29"/>
  <c r="AJ16" i="29"/>
  <c r="B17" i="29"/>
  <c r="E17" i="29"/>
  <c r="Q17" i="29"/>
  <c r="T17" i="29"/>
  <c r="AH17" i="29"/>
  <c r="C17" i="29"/>
  <c r="F17" i="29"/>
  <c r="R17" i="29"/>
  <c r="U17" i="29"/>
  <c r="AI17" i="29"/>
  <c r="AJ17" i="29"/>
  <c r="B18" i="29"/>
  <c r="E18" i="29"/>
  <c r="Q18" i="29"/>
  <c r="T18" i="29"/>
  <c r="AH18" i="29"/>
  <c r="C18" i="29"/>
  <c r="F18" i="29"/>
  <c r="R18" i="29"/>
  <c r="U18" i="29"/>
  <c r="AI18" i="29"/>
  <c r="AJ18" i="29"/>
  <c r="B19" i="29"/>
  <c r="E19" i="29"/>
  <c r="Q19" i="29"/>
  <c r="T19" i="29"/>
  <c r="AH19" i="29"/>
  <c r="C19" i="29"/>
  <c r="F19" i="29"/>
  <c r="R19" i="29"/>
  <c r="U19" i="29"/>
  <c r="AI19" i="29"/>
  <c r="AJ19" i="29"/>
  <c r="B20" i="29"/>
  <c r="E20" i="29"/>
  <c r="Q20" i="29"/>
  <c r="T20" i="29"/>
  <c r="AH20" i="29"/>
  <c r="C20" i="29"/>
  <c r="F20" i="29"/>
  <c r="R20" i="29"/>
  <c r="U20" i="29"/>
  <c r="AI20" i="29"/>
  <c r="AJ20" i="29"/>
  <c r="B21" i="29"/>
  <c r="E21" i="29"/>
  <c r="Q21" i="29"/>
  <c r="T21" i="29"/>
  <c r="AH21" i="29"/>
  <c r="C21" i="29"/>
  <c r="F21" i="29"/>
  <c r="R21" i="29"/>
  <c r="U21" i="29"/>
  <c r="AI21" i="29"/>
  <c r="AJ21" i="29"/>
  <c r="B22" i="29"/>
  <c r="E22" i="29"/>
  <c r="Q22" i="29"/>
  <c r="T22" i="29"/>
  <c r="AH22" i="29"/>
  <c r="C22" i="29"/>
  <c r="F22" i="29"/>
  <c r="R22" i="29"/>
  <c r="U22" i="29"/>
  <c r="AI22" i="29"/>
  <c r="AJ22" i="29"/>
  <c r="B23" i="29"/>
  <c r="E23" i="29"/>
  <c r="Q23" i="29"/>
  <c r="T23" i="29"/>
  <c r="AH23" i="29"/>
  <c r="C23" i="29"/>
  <c r="F23" i="29"/>
  <c r="R23" i="29"/>
  <c r="U23" i="29"/>
  <c r="AI23" i="29"/>
  <c r="AJ23" i="29"/>
  <c r="B24" i="29"/>
  <c r="E24" i="29"/>
  <c r="Q24" i="29"/>
  <c r="T24" i="29"/>
  <c r="AH24" i="29"/>
  <c r="C24" i="29"/>
  <c r="F24" i="29"/>
  <c r="R24" i="29"/>
  <c r="U24" i="29"/>
  <c r="AI24" i="29"/>
  <c r="AJ24" i="29"/>
  <c r="B25" i="29"/>
  <c r="E25" i="29"/>
  <c r="Q25" i="29"/>
  <c r="T25" i="29"/>
  <c r="AH25" i="29"/>
  <c r="C25" i="29"/>
  <c r="F25" i="29"/>
  <c r="R25" i="29"/>
  <c r="U25" i="29"/>
  <c r="AI25" i="29"/>
  <c r="AJ25" i="29"/>
  <c r="B26" i="29"/>
  <c r="E26" i="29"/>
  <c r="Q26" i="29"/>
  <c r="T26" i="29"/>
  <c r="AH26" i="29"/>
  <c r="C26" i="29"/>
  <c r="F26" i="29"/>
  <c r="R26" i="29"/>
  <c r="U26" i="29"/>
  <c r="AI26" i="29"/>
  <c r="AJ26" i="29"/>
  <c r="B27" i="29"/>
  <c r="E27" i="29"/>
  <c r="Q27" i="29"/>
  <c r="T27" i="29"/>
  <c r="AH27" i="29"/>
  <c r="C27" i="29"/>
  <c r="F27" i="29"/>
  <c r="R27" i="29"/>
  <c r="U27" i="29"/>
  <c r="AI27" i="29"/>
  <c r="AJ27" i="29"/>
  <c r="B28" i="29"/>
  <c r="E28" i="29"/>
  <c r="Q28" i="29"/>
  <c r="T28" i="29"/>
  <c r="AH28" i="29"/>
  <c r="C28" i="29"/>
  <c r="F28" i="29"/>
  <c r="R28" i="29"/>
  <c r="U28" i="29"/>
  <c r="AI28" i="29"/>
  <c r="AJ28" i="29"/>
  <c r="B29" i="29"/>
  <c r="E29" i="29"/>
  <c r="Q29" i="29"/>
  <c r="T29" i="29"/>
  <c r="AH29" i="29"/>
  <c r="C29" i="29"/>
  <c r="F29" i="29"/>
  <c r="R29" i="29"/>
  <c r="U29" i="29"/>
  <c r="AI29" i="29"/>
  <c r="AJ29" i="29"/>
  <c r="AN9" i="29"/>
  <c r="AD11" i="29"/>
  <c r="AE11" i="29"/>
  <c r="AF11" i="29"/>
  <c r="AD12" i="29"/>
  <c r="AE12" i="29"/>
  <c r="AF12" i="29"/>
  <c r="AD13" i="29"/>
  <c r="AE13" i="29"/>
  <c r="AF13" i="29"/>
  <c r="AD14" i="29"/>
  <c r="AE14" i="29"/>
  <c r="AF14" i="29"/>
  <c r="AD15" i="29"/>
  <c r="AE15" i="29"/>
  <c r="AF15" i="29"/>
  <c r="AD16" i="29"/>
  <c r="AE16" i="29"/>
  <c r="AF16" i="29"/>
  <c r="AD17" i="29"/>
  <c r="AE17" i="29"/>
  <c r="AF17" i="29"/>
  <c r="AD18" i="29"/>
  <c r="AE18" i="29"/>
  <c r="AF18" i="29"/>
  <c r="AD19" i="29"/>
  <c r="AE19" i="29"/>
  <c r="AF19" i="29"/>
  <c r="AD20" i="29"/>
  <c r="AE20" i="29"/>
  <c r="AF20" i="29"/>
  <c r="AD21" i="29"/>
  <c r="AE21" i="29"/>
  <c r="AF21" i="29"/>
  <c r="AD22" i="29"/>
  <c r="AE22" i="29"/>
  <c r="AF22" i="29"/>
  <c r="AD23" i="29"/>
  <c r="AE23" i="29"/>
  <c r="AF23" i="29"/>
  <c r="AD24" i="29"/>
  <c r="AE24" i="29"/>
  <c r="AF24" i="29"/>
  <c r="AD25" i="29"/>
  <c r="AE25" i="29"/>
  <c r="AF25" i="29"/>
  <c r="AD26" i="29"/>
  <c r="AE26" i="29"/>
  <c r="AF26" i="29"/>
  <c r="AD27" i="29"/>
  <c r="AE27" i="29"/>
  <c r="AF27" i="29"/>
  <c r="AD28" i="29"/>
  <c r="AE28" i="29"/>
  <c r="AF28" i="29"/>
  <c r="AD29" i="29"/>
  <c r="AE29" i="29"/>
  <c r="AF29" i="29"/>
  <c r="AP7" i="29"/>
  <c r="Z11" i="29"/>
  <c r="AA11" i="29"/>
  <c r="AB11" i="29"/>
  <c r="Z12" i="29"/>
  <c r="AA12" i="29"/>
  <c r="AB12" i="29"/>
  <c r="Z13" i="29"/>
  <c r="AA13" i="29"/>
  <c r="AB13" i="29"/>
  <c r="Z14" i="29"/>
  <c r="AA14" i="29"/>
  <c r="AB14" i="29"/>
  <c r="Z15" i="29"/>
  <c r="AA15" i="29"/>
  <c r="AB15" i="29"/>
  <c r="Z16" i="29"/>
  <c r="AA16" i="29"/>
  <c r="AB16" i="29"/>
  <c r="Z17" i="29"/>
  <c r="AA17" i="29"/>
  <c r="AB17" i="29"/>
  <c r="Z18" i="29"/>
  <c r="AA18" i="29"/>
  <c r="AB18" i="29"/>
  <c r="Z19" i="29"/>
  <c r="AA19" i="29"/>
  <c r="AB19" i="29"/>
  <c r="Z20" i="29"/>
  <c r="AA20" i="29"/>
  <c r="AB20" i="29"/>
  <c r="Z21" i="29"/>
  <c r="AA21" i="29"/>
  <c r="AB21" i="29"/>
  <c r="Z22" i="29"/>
  <c r="AA22" i="29"/>
  <c r="AB22" i="29"/>
  <c r="Z23" i="29"/>
  <c r="AA23" i="29"/>
  <c r="AB23" i="29"/>
  <c r="Z24" i="29"/>
  <c r="AA24" i="29"/>
  <c r="AB24" i="29"/>
  <c r="Z25" i="29"/>
  <c r="AA25" i="29"/>
  <c r="AB25" i="29"/>
  <c r="Z26" i="29"/>
  <c r="AA26" i="29"/>
  <c r="AB26" i="29"/>
  <c r="Z27" i="29"/>
  <c r="AA27" i="29"/>
  <c r="AB27" i="29"/>
  <c r="Z28" i="29"/>
  <c r="AA28" i="29"/>
  <c r="AB28" i="29"/>
  <c r="Z29" i="29"/>
  <c r="AA29" i="29"/>
  <c r="AB29" i="29"/>
  <c r="AO7" i="29"/>
  <c r="AN7" i="29"/>
  <c r="AB47" i="29"/>
  <c r="AA47" i="29"/>
  <c r="Z47" i="29"/>
  <c r="H3" i="34"/>
  <c r="I3" i="34"/>
  <c r="J3" i="34"/>
  <c r="H4" i="34"/>
  <c r="I4" i="34"/>
  <c r="J4" i="34"/>
  <c r="H5" i="34"/>
  <c r="I5" i="34"/>
  <c r="J5" i="34"/>
  <c r="H6" i="34"/>
  <c r="I6" i="34"/>
  <c r="J6" i="34"/>
  <c r="H7" i="34"/>
  <c r="I7" i="34"/>
  <c r="J7" i="34"/>
  <c r="H8" i="34"/>
  <c r="I8" i="34"/>
  <c r="J8" i="34"/>
  <c r="H9" i="34"/>
  <c r="I9" i="34"/>
  <c r="J9" i="34"/>
  <c r="H10" i="34"/>
  <c r="I10" i="34"/>
  <c r="J10" i="34"/>
  <c r="H11" i="34"/>
  <c r="I11" i="34"/>
  <c r="J11" i="34"/>
  <c r="H12" i="34"/>
  <c r="I12" i="34"/>
  <c r="J12" i="34"/>
  <c r="H13" i="34"/>
  <c r="I13" i="34"/>
  <c r="J13" i="34"/>
  <c r="H14" i="34"/>
  <c r="I14" i="34"/>
  <c r="J14" i="34"/>
  <c r="H15" i="34"/>
  <c r="I15" i="34"/>
  <c r="J15" i="34"/>
  <c r="H16" i="34"/>
  <c r="I16" i="34"/>
  <c r="J16" i="34"/>
  <c r="H17" i="34"/>
  <c r="I17" i="34"/>
  <c r="J17" i="34"/>
  <c r="H18" i="34"/>
  <c r="I18" i="34"/>
  <c r="J18" i="34"/>
  <c r="H19" i="34"/>
  <c r="I19" i="34"/>
  <c r="J19" i="34"/>
  <c r="I2" i="34"/>
  <c r="H2" i="34"/>
  <c r="E19" i="34"/>
  <c r="E47" i="20"/>
  <c r="F47" i="20"/>
  <c r="C47" i="15"/>
  <c r="I47" i="15"/>
  <c r="F47" i="15"/>
  <c r="C4"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E47" i="15"/>
  <c r="CF23" i="17"/>
  <c r="CG23" i="17"/>
  <c r="CH23" i="17"/>
  <c r="CI23" i="17"/>
  <c r="CE23" i="17"/>
  <c r="CF21" i="17"/>
  <c r="CG21" i="17"/>
  <c r="CH21" i="17"/>
  <c r="CI21" i="17"/>
  <c r="CE21" i="17"/>
  <c r="CE20" i="17"/>
  <c r="BZ23" i="17"/>
  <c r="CA23" i="17"/>
  <c r="CB23" i="17"/>
  <c r="CC23" i="17"/>
  <c r="BY23" i="17"/>
  <c r="BZ21" i="17"/>
  <c r="CA21" i="17"/>
  <c r="CB21" i="17"/>
  <c r="CC21" i="17"/>
  <c r="BY21" i="17"/>
  <c r="BT23" i="17"/>
  <c r="BU23" i="17"/>
  <c r="BV23" i="17"/>
  <c r="BW23" i="17"/>
  <c r="BS23" i="17"/>
  <c r="BT21" i="17"/>
  <c r="BU21" i="17"/>
  <c r="BV21" i="17"/>
  <c r="BW21" i="17"/>
  <c r="BS21" i="17"/>
  <c r="BN23" i="17"/>
  <c r="BO23" i="17"/>
  <c r="BP23" i="17"/>
  <c r="BQ23" i="17"/>
  <c r="BM23" i="17"/>
  <c r="BN21" i="17"/>
  <c r="BO21" i="17"/>
  <c r="BP21" i="17"/>
  <c r="BQ21" i="17"/>
  <c r="BM21" i="17"/>
  <c r="BD21" i="17"/>
  <c r="BE21" i="17"/>
  <c r="BF21" i="17"/>
  <c r="BG21" i="17"/>
  <c r="BH21" i="17"/>
  <c r="BI21" i="17"/>
  <c r="BJ21" i="17"/>
  <c r="BK21" i="17"/>
  <c r="AU21" i="17"/>
  <c r="AV21" i="17"/>
  <c r="AW21" i="17"/>
  <c r="AX21" i="17"/>
  <c r="AY21" i="17"/>
  <c r="AZ21" i="17"/>
  <c r="BA21" i="17"/>
  <c r="BB21" i="17"/>
  <c r="AG21" i="17"/>
  <c r="AH21" i="17"/>
  <c r="AI21" i="17"/>
  <c r="AJ21" i="17"/>
  <c r="AK21" i="17"/>
  <c r="AL21" i="17"/>
  <c r="AM21" i="17"/>
  <c r="AN21" i="17"/>
  <c r="AO21" i="17"/>
  <c r="AP21" i="17"/>
  <c r="AR21" i="17"/>
  <c r="X21" i="17"/>
  <c r="Y21" i="17"/>
  <c r="Z21" i="17"/>
  <c r="AA21" i="17"/>
  <c r="AB21" i="17"/>
  <c r="AC21" i="17"/>
  <c r="AD21" i="17"/>
  <c r="AE21" i="17"/>
  <c r="P24" i="17"/>
  <c r="Q24" i="17"/>
  <c r="R24" i="17"/>
  <c r="S24" i="17"/>
  <c r="T24" i="17"/>
  <c r="U24" i="17"/>
  <c r="V24" i="17"/>
  <c r="O24" i="17"/>
  <c r="O21" i="17"/>
  <c r="P21" i="17"/>
  <c r="Q21" i="17"/>
  <c r="R21" i="17"/>
  <c r="S21" i="17"/>
  <c r="T21" i="17"/>
  <c r="U21" i="17"/>
  <c r="V21" i="17"/>
  <c r="C21" i="17"/>
  <c r="D21" i="17"/>
  <c r="E21" i="17"/>
  <c r="G21" i="17"/>
  <c r="H21" i="17"/>
  <c r="B21" i="17"/>
  <c r="F21" i="17"/>
  <c r="J21" i="17"/>
  <c r="K21" i="17"/>
  <c r="L21" i="17"/>
  <c r="M21" i="17"/>
  <c r="I21" i="17"/>
  <c r="HL18" i="8"/>
  <c r="HL16" i="8"/>
  <c r="HI16" i="8"/>
  <c r="HJ16" i="8"/>
  <c r="HF16" i="8"/>
  <c r="HG16" i="8"/>
  <c r="GZ18" i="8"/>
  <c r="HA18" i="8"/>
  <c r="HB18" i="8"/>
  <c r="HC18" i="8"/>
  <c r="GY18" i="8"/>
  <c r="GY16" i="8"/>
  <c r="GZ16" i="8"/>
  <c r="HA16" i="8"/>
  <c r="HB16" i="8"/>
  <c r="HC16" i="8"/>
  <c r="GN18" i="8"/>
  <c r="GO18" i="8"/>
  <c r="GP18" i="8"/>
  <c r="GQ18" i="8"/>
  <c r="GR18" i="8"/>
  <c r="GS18" i="8"/>
  <c r="GT18" i="8"/>
  <c r="GU18" i="8"/>
  <c r="GV18" i="8"/>
  <c r="GW18" i="8"/>
  <c r="GM18" i="8"/>
  <c r="GC16" i="8"/>
  <c r="GD16" i="8"/>
  <c r="GE16" i="8"/>
  <c r="GF16" i="8"/>
  <c r="GG16" i="8"/>
  <c r="GB16" i="8"/>
  <c r="GI16" i="8"/>
  <c r="GJ16" i="8"/>
  <c r="GK16" i="8"/>
  <c r="GL16" i="8"/>
  <c r="GH16" i="8"/>
  <c r="GM16" i="8"/>
  <c r="GN16" i="8"/>
  <c r="GO16" i="8"/>
  <c r="GP16" i="8"/>
  <c r="GQ16" i="8"/>
  <c r="GR16" i="8"/>
  <c r="GS16" i="8"/>
  <c r="GT16" i="8"/>
  <c r="GU16" i="8"/>
  <c r="GV16" i="8"/>
  <c r="GW16" i="8"/>
  <c r="FW18" i="8"/>
  <c r="FX18" i="8"/>
  <c r="FY18" i="8"/>
  <c r="FZ18" i="8"/>
  <c r="FV18" i="8"/>
  <c r="FV16" i="8"/>
  <c r="FW16" i="8"/>
  <c r="FX16" i="8"/>
  <c r="FY16" i="8"/>
  <c r="FZ16" i="8"/>
  <c r="FK18" i="8"/>
  <c r="FL18" i="8"/>
  <c r="FM18" i="8"/>
  <c r="FN18" i="8"/>
  <c r="FO18" i="8"/>
  <c r="FP18" i="8"/>
  <c r="FQ18" i="8"/>
  <c r="FR18" i="8"/>
  <c r="FS18" i="8"/>
  <c r="FT18" i="8"/>
  <c r="FJ18" i="8"/>
  <c r="EZ16" i="8"/>
  <c r="FA16" i="8"/>
  <c r="FB16" i="8"/>
  <c r="FC16" i="8"/>
  <c r="FD16" i="8"/>
  <c r="EY16" i="8"/>
  <c r="FF16" i="8"/>
  <c r="FG16" i="8"/>
  <c r="FH16" i="8"/>
  <c r="FI16" i="8"/>
  <c r="FE16" i="8"/>
  <c r="FJ16" i="8"/>
  <c r="FK16" i="8"/>
  <c r="FL16" i="8"/>
  <c r="FM16" i="8"/>
  <c r="FN16" i="8"/>
  <c r="FO16" i="8"/>
  <c r="FP16" i="8"/>
  <c r="FQ16" i="8"/>
  <c r="FR16" i="8"/>
  <c r="FS16" i="8"/>
  <c r="FT16" i="8"/>
  <c r="ET18" i="8"/>
  <c r="EU18" i="8"/>
  <c r="EV18" i="8"/>
  <c r="EW18" i="8"/>
  <c r="ES18" i="8"/>
  <c r="ES16" i="8"/>
  <c r="ET16" i="8"/>
  <c r="EU16" i="8"/>
  <c r="EV16" i="8"/>
  <c r="EW16" i="8"/>
  <c r="EH18" i="8"/>
  <c r="EI18" i="8"/>
  <c r="EJ18" i="8"/>
  <c r="EK18" i="8"/>
  <c r="EL18" i="8"/>
  <c r="EM18" i="8"/>
  <c r="EN18" i="8"/>
  <c r="EO18" i="8"/>
  <c r="EP18" i="8"/>
  <c r="EQ18" i="8"/>
  <c r="EG18" i="8"/>
  <c r="EG16" i="8"/>
  <c r="EH16" i="8"/>
  <c r="EI16" i="8"/>
  <c r="EJ16" i="8"/>
  <c r="EK16" i="8"/>
  <c r="EL16" i="8"/>
  <c r="EM16" i="8"/>
  <c r="EN16" i="8"/>
  <c r="EO16" i="8"/>
  <c r="EP16" i="8"/>
  <c r="EQ16" i="8"/>
  <c r="DQ18" i="8"/>
  <c r="DR18" i="8"/>
  <c r="DS18" i="8"/>
  <c r="DT18" i="8"/>
  <c r="DP18" i="8"/>
  <c r="DP16" i="8"/>
  <c r="DQ16" i="8"/>
  <c r="DR16" i="8"/>
  <c r="DS16" i="8"/>
  <c r="DT16" i="8"/>
  <c r="DF18" i="8"/>
  <c r="DG18" i="8"/>
  <c r="DH18" i="8"/>
  <c r="DI18" i="8"/>
  <c r="DJ18" i="8"/>
  <c r="DK18" i="8"/>
  <c r="DL18" i="8"/>
  <c r="DM18" i="8"/>
  <c r="DN18" i="8"/>
  <c r="DE18" i="8"/>
  <c r="CU16" i="8"/>
  <c r="CV16" i="8"/>
  <c r="CW16" i="8"/>
  <c r="CX16" i="8"/>
  <c r="CY16" i="8"/>
  <c r="CZ16" i="8"/>
  <c r="DA16" i="8"/>
  <c r="DB16" i="8"/>
  <c r="DC16" i="8"/>
  <c r="DD16" i="8"/>
  <c r="DE16" i="8"/>
  <c r="DF16" i="8"/>
  <c r="DG16" i="8"/>
  <c r="DH16" i="8"/>
  <c r="DI16" i="8"/>
  <c r="DJ16" i="8"/>
  <c r="DK16" i="8"/>
  <c r="DL16" i="8"/>
  <c r="DM16" i="8"/>
  <c r="DN16" i="8"/>
  <c r="CP18" i="8"/>
  <c r="CQ18" i="8"/>
  <c r="CR18" i="8"/>
  <c r="CS18" i="8"/>
  <c r="CO18" i="8"/>
  <c r="CO16" i="8"/>
  <c r="CP16" i="8"/>
  <c r="CQ16" i="8"/>
  <c r="CR16" i="8"/>
  <c r="CS16" i="8"/>
  <c r="CC18" i="8"/>
  <c r="CD18" i="8"/>
  <c r="CE18" i="8"/>
  <c r="CF18" i="8"/>
  <c r="CG18" i="8"/>
  <c r="CH18" i="8"/>
  <c r="CI18" i="8"/>
  <c r="CJ18" i="8"/>
  <c r="CK18" i="8"/>
  <c r="CL18" i="8"/>
  <c r="CM18" i="8"/>
  <c r="CM16" i="8"/>
  <c r="CL16" i="8"/>
  <c r="CK16" i="8"/>
  <c r="CJ16" i="8"/>
  <c r="CI16" i="8"/>
  <c r="CI15" i="8"/>
  <c r="CH16" i="8"/>
  <c r="CG16" i="8"/>
  <c r="CF16" i="8"/>
  <c r="CC16" i="8"/>
  <c r="CE16" i="8"/>
  <c r="CD16" i="8"/>
  <c r="BP16" i="8"/>
  <c r="EF16" i="8"/>
  <c r="EB16" i="8"/>
  <c r="CB16" i="8"/>
  <c r="BX16" i="8"/>
  <c r="EE16" i="8"/>
  <c r="CA16" i="8"/>
  <c r="ED16" i="8"/>
  <c r="BZ16" i="8"/>
  <c r="EC16" i="8"/>
  <c r="BY16" i="8"/>
  <c r="EA16" i="8"/>
  <c r="DV16" i="8"/>
  <c r="BW16" i="8"/>
  <c r="BR16" i="8"/>
  <c r="DZ16" i="8"/>
  <c r="BV16" i="8"/>
  <c r="DY16" i="8"/>
  <c r="BU16" i="8"/>
  <c r="DX16" i="8"/>
  <c r="BT16" i="8"/>
  <c r="DW16" i="8"/>
  <c r="BS16" i="8"/>
  <c r="AO4" i="7"/>
  <c r="AO5" i="7"/>
  <c r="AO6" i="7"/>
  <c r="AO7" i="7"/>
  <c r="AO8" i="7"/>
  <c r="AO9" i="7"/>
  <c r="AO10" i="7"/>
  <c r="AO11" i="7"/>
  <c r="AO12" i="7"/>
  <c r="AO13" i="7"/>
  <c r="AO14" i="7"/>
  <c r="AO15" i="7"/>
  <c r="AO16" i="7"/>
  <c r="AO17" i="7"/>
  <c r="AO18" i="7"/>
  <c r="AO19" i="7"/>
  <c r="AO20" i="7"/>
  <c r="AO21" i="7"/>
  <c r="AO23" i="7"/>
  <c r="AN4" i="7"/>
  <c r="AN5" i="7"/>
  <c r="AN6" i="7"/>
  <c r="AN7" i="7"/>
  <c r="AN8" i="7"/>
  <c r="AN9" i="7"/>
  <c r="AN10" i="7"/>
  <c r="AN11" i="7"/>
  <c r="AN12" i="7"/>
  <c r="AN13" i="7"/>
  <c r="AN14" i="7"/>
  <c r="AN15" i="7"/>
  <c r="AN16" i="7"/>
  <c r="AN17" i="7"/>
  <c r="AN18" i="7"/>
  <c r="AN19" i="7"/>
  <c r="AN20" i="7"/>
  <c r="AN21" i="7"/>
  <c r="AN23" i="7"/>
  <c r="AM4" i="7"/>
  <c r="AM5" i="7"/>
  <c r="AM6" i="7"/>
  <c r="AM7" i="7"/>
  <c r="AM8" i="7"/>
  <c r="AM9" i="7"/>
  <c r="AM10" i="7"/>
  <c r="AM11" i="7"/>
  <c r="AM12" i="7"/>
  <c r="AM13" i="7"/>
  <c r="AM14" i="7"/>
  <c r="AM15" i="7"/>
  <c r="AM16" i="7"/>
  <c r="AM17" i="7"/>
  <c r="AM18" i="7"/>
  <c r="AM19" i="7"/>
  <c r="AM20" i="7"/>
  <c r="AM21" i="7"/>
  <c r="AM23" i="7"/>
  <c r="AL4" i="7"/>
  <c r="AL5" i="7"/>
  <c r="AL6" i="7"/>
  <c r="AL7" i="7"/>
  <c r="AL8" i="7"/>
  <c r="AL9" i="7"/>
  <c r="AL10" i="7"/>
  <c r="AL11" i="7"/>
  <c r="AL12" i="7"/>
  <c r="AL13" i="7"/>
  <c r="AL14" i="7"/>
  <c r="AL15" i="7"/>
  <c r="AL16" i="7"/>
  <c r="AL17" i="7"/>
  <c r="AL18" i="7"/>
  <c r="AL19" i="7"/>
  <c r="AL20" i="7"/>
  <c r="AL21" i="7"/>
  <c r="AL23" i="7"/>
  <c r="AK4" i="7"/>
  <c r="AK5" i="7"/>
  <c r="AK6" i="7"/>
  <c r="AK7" i="7"/>
  <c r="AK8" i="7"/>
  <c r="AK9" i="7"/>
  <c r="AK10" i="7"/>
  <c r="AK11" i="7"/>
  <c r="AK12" i="7"/>
  <c r="AK13" i="7"/>
  <c r="AK14" i="7"/>
  <c r="AK15" i="7"/>
  <c r="AK16" i="7"/>
  <c r="AK17" i="7"/>
  <c r="AK18" i="7"/>
  <c r="AK19" i="7"/>
  <c r="AK20" i="7"/>
  <c r="AK21" i="7"/>
  <c r="AK23" i="7"/>
  <c r="AB23" i="7"/>
  <c r="AC23" i="7"/>
  <c r="AD23" i="7"/>
  <c r="AE23" i="7"/>
  <c r="AF23" i="7"/>
  <c r="AG23" i="7"/>
  <c r="AH23" i="7"/>
  <c r="AI23" i="7"/>
  <c r="AA23" i="7"/>
  <c r="Z23" i="7"/>
  <c r="X21" i="7"/>
  <c r="B21" i="7"/>
  <c r="C21" i="7"/>
  <c r="D21" i="7"/>
  <c r="E21" i="7"/>
  <c r="F21" i="7"/>
  <c r="G21" i="7"/>
  <c r="H21" i="7"/>
  <c r="I21" i="7"/>
  <c r="J21" i="7"/>
  <c r="K21" i="7"/>
  <c r="AG23" i="3"/>
  <c r="AH23" i="3"/>
  <c r="AI23" i="3"/>
  <c r="AF23" i="3"/>
  <c r="AA23" i="3"/>
  <c r="AB23" i="3"/>
  <c r="AC23" i="3"/>
  <c r="AD5" i="3"/>
  <c r="AD6" i="3"/>
  <c r="AD7" i="3"/>
  <c r="AD8" i="3"/>
  <c r="AD9" i="3"/>
  <c r="AD10" i="3"/>
  <c r="AD11" i="3"/>
  <c r="AD12" i="3"/>
  <c r="AD13" i="3"/>
  <c r="AD14" i="3"/>
  <c r="AD15" i="3"/>
  <c r="AD16" i="3"/>
  <c r="AD17" i="3"/>
  <c r="AD18" i="3"/>
  <c r="AD19" i="3"/>
  <c r="AD20" i="3"/>
  <c r="AD21" i="3"/>
  <c r="AD23" i="3"/>
  <c r="Z23" i="3"/>
  <c r="P23" i="3"/>
  <c r="Q23" i="3"/>
  <c r="R23" i="3"/>
  <c r="S23" i="3"/>
  <c r="T23" i="3"/>
  <c r="U23" i="3"/>
  <c r="V23" i="3"/>
  <c r="W23" i="3"/>
  <c r="X23" i="3"/>
  <c r="O23" i="3"/>
  <c r="J4" i="6"/>
  <c r="J5" i="6"/>
  <c r="J6" i="6"/>
  <c r="J7" i="6"/>
  <c r="J8" i="6"/>
  <c r="J9" i="6"/>
  <c r="J10" i="6"/>
  <c r="J11" i="6"/>
  <c r="J12" i="6"/>
  <c r="J13" i="6"/>
  <c r="J14" i="6"/>
  <c r="J15" i="6"/>
  <c r="J16" i="6"/>
  <c r="J17" i="6"/>
  <c r="J18" i="6"/>
  <c r="J19" i="6"/>
  <c r="J20" i="6"/>
  <c r="J21" i="6"/>
  <c r="J23" i="6"/>
  <c r="I23" i="6"/>
  <c r="H23" i="6"/>
  <c r="E21" i="6"/>
  <c r="D21" i="6"/>
  <c r="BB4" i="6"/>
  <c r="BB5" i="6"/>
  <c r="BB6" i="6"/>
  <c r="BB7" i="6"/>
  <c r="BB8" i="6"/>
  <c r="BB9" i="6"/>
  <c r="BB10" i="6"/>
  <c r="BB11" i="6"/>
  <c r="BB12" i="6"/>
  <c r="BB13" i="6"/>
  <c r="BB14" i="6"/>
  <c r="BB15" i="6"/>
  <c r="BB16" i="6"/>
  <c r="BB17" i="6"/>
  <c r="BB18" i="6"/>
  <c r="BB19" i="6"/>
  <c r="BB20" i="6"/>
  <c r="BB21" i="6"/>
  <c r="BB23" i="6"/>
  <c r="BA23" i="6"/>
  <c r="AZ23" i="6"/>
  <c r="AW21" i="6"/>
  <c r="AV21" i="6"/>
  <c r="AQ4" i="6"/>
  <c r="AQ5" i="6"/>
  <c r="AQ6" i="6"/>
  <c r="AQ7" i="6"/>
  <c r="AQ8" i="6"/>
  <c r="AQ9" i="6"/>
  <c r="AQ10" i="6"/>
  <c r="AQ11" i="6"/>
  <c r="AQ12" i="6"/>
  <c r="AQ13" i="6"/>
  <c r="AQ14" i="6"/>
  <c r="AQ15" i="6"/>
  <c r="AQ16" i="6"/>
  <c r="AQ17" i="6"/>
  <c r="AQ18" i="6"/>
  <c r="AQ19" i="6"/>
  <c r="AQ20" i="6"/>
  <c r="AQ21" i="6"/>
  <c r="AQ23" i="6"/>
  <c r="AP23" i="6"/>
  <c r="AO23" i="6"/>
  <c r="AL21" i="6"/>
  <c r="AK21" i="6"/>
  <c r="AF21" i="6"/>
  <c r="AF4" i="6"/>
  <c r="AF5" i="6"/>
  <c r="AF6" i="6"/>
  <c r="AF7" i="6"/>
  <c r="AF8" i="6"/>
  <c r="AF9" i="6"/>
  <c r="AF10" i="6"/>
  <c r="AF11" i="6"/>
  <c r="AF12" i="6"/>
  <c r="AF13" i="6"/>
  <c r="AF14" i="6"/>
  <c r="AF15" i="6"/>
  <c r="AF16" i="6"/>
  <c r="AF17" i="6"/>
  <c r="AF18" i="6"/>
  <c r="AF19" i="6"/>
  <c r="AF20" i="6"/>
  <c r="AF23" i="6"/>
  <c r="AE23" i="6"/>
  <c r="AD23" i="6"/>
  <c r="AA21" i="6"/>
  <c r="Z21" i="6"/>
  <c r="U4" i="6"/>
  <c r="U5" i="6"/>
  <c r="U6" i="6"/>
  <c r="U7" i="6"/>
  <c r="U8" i="6"/>
  <c r="U9" i="6"/>
  <c r="U10" i="6"/>
  <c r="U11" i="6"/>
  <c r="U12" i="6"/>
  <c r="U13" i="6"/>
  <c r="U14" i="6"/>
  <c r="U15" i="6"/>
  <c r="U16" i="6"/>
  <c r="U17" i="6"/>
  <c r="U18" i="6"/>
  <c r="U19" i="6"/>
  <c r="U20" i="6"/>
  <c r="U21" i="6"/>
  <c r="U23" i="6"/>
  <c r="T23" i="6"/>
  <c r="S23" i="6"/>
  <c r="P21" i="6"/>
  <c r="O21" i="6"/>
  <c r="AS21" i="6"/>
  <c r="AR21" i="6"/>
  <c r="AH21" i="6"/>
  <c r="AG21" i="6"/>
  <c r="W21" i="6"/>
  <c r="V21" i="6"/>
  <c r="L21" i="6"/>
  <c r="K21" i="6"/>
  <c r="BG23" i="6"/>
  <c r="BG21" i="6"/>
  <c r="BE21" i="6"/>
  <c r="BC21" i="6"/>
  <c r="B21" i="6"/>
  <c r="BK4" i="31"/>
  <c r="BL4" i="31"/>
  <c r="BM4" i="31"/>
  <c r="BN4" i="31"/>
  <c r="BK5" i="31"/>
  <c r="BL5" i="31"/>
  <c r="BM5" i="31"/>
  <c r="BN5" i="31"/>
  <c r="BK6" i="31"/>
  <c r="BL6" i="31"/>
  <c r="BM6" i="31"/>
  <c r="BN6" i="31"/>
  <c r="BK7" i="31"/>
  <c r="BL7" i="31"/>
  <c r="BM7" i="31"/>
  <c r="BN7" i="31"/>
  <c r="BK8" i="31"/>
  <c r="BL8" i="31"/>
  <c r="BM8" i="31"/>
  <c r="BN8" i="31"/>
  <c r="BK9" i="31"/>
  <c r="BL9" i="31"/>
  <c r="BM9" i="31"/>
  <c r="BN9" i="31"/>
  <c r="BK10" i="31"/>
  <c r="BL10" i="31"/>
  <c r="BM10" i="31"/>
  <c r="BN10" i="31"/>
  <c r="BK11" i="31"/>
  <c r="BL11" i="31"/>
  <c r="BM11" i="31"/>
  <c r="BN11" i="31"/>
  <c r="BK12" i="31"/>
  <c r="BL12" i="31"/>
  <c r="BM12" i="31"/>
  <c r="BN12" i="31"/>
  <c r="BK13" i="31"/>
  <c r="BL13" i="31"/>
  <c r="BM13" i="31"/>
  <c r="BN13" i="31"/>
  <c r="BK14" i="31"/>
  <c r="BL14" i="31"/>
  <c r="BM14" i="31"/>
  <c r="BN14" i="31"/>
  <c r="BK15" i="31"/>
  <c r="BL15" i="31"/>
  <c r="BM15" i="31"/>
  <c r="BN15" i="31"/>
  <c r="BJ5" i="31"/>
  <c r="BJ6" i="31"/>
  <c r="BJ7" i="31"/>
  <c r="BJ8" i="31"/>
  <c r="BJ9" i="31"/>
  <c r="BJ10" i="31"/>
  <c r="BJ11" i="31"/>
  <c r="BJ12" i="31"/>
  <c r="BJ13" i="31"/>
  <c r="BJ14" i="31"/>
  <c r="BJ15" i="31"/>
  <c r="BJ4" i="31"/>
  <c r="AB4" i="31"/>
  <c r="AC4" i="31"/>
  <c r="AD4" i="31"/>
  <c r="AE4" i="31"/>
  <c r="AF4" i="31"/>
  <c r="AG4" i="31"/>
  <c r="AH4" i="31"/>
  <c r="AI4" i="31"/>
  <c r="AJ4" i="31"/>
  <c r="AK4" i="31"/>
  <c r="AL4" i="31"/>
  <c r="AM4" i="31"/>
  <c r="AN4" i="31"/>
  <c r="AO4" i="31"/>
  <c r="AP4" i="31"/>
  <c r="AQ4" i="31"/>
  <c r="AR4" i="31"/>
  <c r="AS4" i="31"/>
  <c r="AT4" i="31"/>
  <c r="AU4" i="31"/>
  <c r="AV4" i="31"/>
  <c r="AW4" i="31"/>
  <c r="AX4" i="31"/>
  <c r="AY4" i="31"/>
  <c r="AZ4" i="31"/>
  <c r="BA4" i="31"/>
  <c r="BB4" i="31"/>
  <c r="BC4" i="31"/>
  <c r="BD4" i="31"/>
  <c r="AB5" i="31"/>
  <c r="AC5" i="31"/>
  <c r="AD5" i="31"/>
  <c r="AE5" i="31"/>
  <c r="AF5" i="31"/>
  <c r="AG5" i="31"/>
  <c r="AH5" i="31"/>
  <c r="AI5" i="31"/>
  <c r="AJ5" i="31"/>
  <c r="AK5" i="31"/>
  <c r="AL5" i="31"/>
  <c r="AM5" i="31"/>
  <c r="AN5" i="31"/>
  <c r="AO5" i="31"/>
  <c r="AP5" i="31"/>
  <c r="AQ5" i="31"/>
  <c r="AR5" i="31"/>
  <c r="AS5" i="31"/>
  <c r="AT5" i="31"/>
  <c r="AU5" i="31"/>
  <c r="AV5" i="31"/>
  <c r="AW5" i="31"/>
  <c r="AX5" i="31"/>
  <c r="AY5" i="31"/>
  <c r="AZ5" i="31"/>
  <c r="BA5" i="31"/>
  <c r="BB5" i="31"/>
  <c r="BC5" i="31"/>
  <c r="BD5" i="31"/>
  <c r="AB6" i="31"/>
  <c r="AC6" i="31"/>
  <c r="AD6" i="31"/>
  <c r="AE6" i="31"/>
  <c r="AF6" i="31"/>
  <c r="AG6" i="31"/>
  <c r="AH6" i="31"/>
  <c r="AI6" i="31"/>
  <c r="AJ6" i="31"/>
  <c r="AK6" i="31"/>
  <c r="AL6" i="31"/>
  <c r="AM6" i="31"/>
  <c r="AN6" i="31"/>
  <c r="AO6" i="31"/>
  <c r="AP6" i="31"/>
  <c r="AQ6" i="31"/>
  <c r="AR6" i="31"/>
  <c r="AS6" i="31"/>
  <c r="AT6" i="31"/>
  <c r="AU6" i="31"/>
  <c r="AV6" i="31"/>
  <c r="AW6" i="31"/>
  <c r="AX6" i="31"/>
  <c r="AY6" i="31"/>
  <c r="AZ6" i="31"/>
  <c r="BA6" i="31"/>
  <c r="BB6" i="31"/>
  <c r="BC6" i="31"/>
  <c r="BD6" i="31"/>
  <c r="AB7" i="31"/>
  <c r="AC7" i="31"/>
  <c r="AD7" i="31"/>
  <c r="AE7" i="31"/>
  <c r="AF7" i="31"/>
  <c r="AG7" i="31"/>
  <c r="AH7" i="31"/>
  <c r="AI7" i="31"/>
  <c r="AJ7" i="31"/>
  <c r="AK7" i="31"/>
  <c r="AL7" i="31"/>
  <c r="AM7" i="31"/>
  <c r="AN7" i="31"/>
  <c r="AO7" i="31"/>
  <c r="AP7" i="31"/>
  <c r="AQ7" i="31"/>
  <c r="AR7" i="31"/>
  <c r="AS7" i="31"/>
  <c r="AT7" i="31"/>
  <c r="AU7" i="31"/>
  <c r="AV7" i="31"/>
  <c r="AW7" i="31"/>
  <c r="AX7" i="31"/>
  <c r="AY7" i="31"/>
  <c r="AZ7" i="31"/>
  <c r="BA7" i="31"/>
  <c r="BB7" i="31"/>
  <c r="BC7" i="31"/>
  <c r="BD7" i="31"/>
  <c r="AB8" i="31"/>
  <c r="AC8" i="31"/>
  <c r="AD8" i="31"/>
  <c r="AE8" i="31"/>
  <c r="AF8" i="31"/>
  <c r="AG8" i="31"/>
  <c r="AH8" i="31"/>
  <c r="AI8" i="31"/>
  <c r="AJ8" i="31"/>
  <c r="AK8" i="31"/>
  <c r="AL8" i="31"/>
  <c r="AM8" i="31"/>
  <c r="AN8" i="31"/>
  <c r="AO8" i="31"/>
  <c r="AP8" i="31"/>
  <c r="AQ8" i="31"/>
  <c r="AR8" i="31"/>
  <c r="AS8" i="31"/>
  <c r="AT8" i="31"/>
  <c r="AU8" i="31"/>
  <c r="AV8" i="31"/>
  <c r="AW8" i="31"/>
  <c r="AX8" i="31"/>
  <c r="AY8" i="31"/>
  <c r="AZ8" i="31"/>
  <c r="BA8" i="31"/>
  <c r="BB8" i="31"/>
  <c r="BC8" i="31"/>
  <c r="BD8" i="31"/>
  <c r="AB9" i="31"/>
  <c r="AC9" i="31"/>
  <c r="AD9" i="31"/>
  <c r="AE9" i="31"/>
  <c r="AF9" i="31"/>
  <c r="AG9" i="31"/>
  <c r="AH9" i="31"/>
  <c r="AI9" i="31"/>
  <c r="AJ9" i="31"/>
  <c r="AK9" i="31"/>
  <c r="AL9" i="31"/>
  <c r="AM9" i="31"/>
  <c r="AN9" i="31"/>
  <c r="AO9" i="31"/>
  <c r="AP9" i="31"/>
  <c r="AQ9" i="31"/>
  <c r="AR9" i="31"/>
  <c r="AS9" i="31"/>
  <c r="AT9" i="31"/>
  <c r="AU9" i="31"/>
  <c r="AV9" i="31"/>
  <c r="AW9" i="31"/>
  <c r="AX9" i="31"/>
  <c r="AY9" i="31"/>
  <c r="AZ9" i="31"/>
  <c r="BA9" i="31"/>
  <c r="BB9" i="31"/>
  <c r="BC9" i="31"/>
  <c r="BD9" i="31"/>
  <c r="AB10" i="31"/>
  <c r="AC10" i="31"/>
  <c r="AD10" i="31"/>
  <c r="AE10" i="31"/>
  <c r="AF10" i="31"/>
  <c r="AG10" i="31"/>
  <c r="AH10" i="31"/>
  <c r="AI10" i="31"/>
  <c r="AJ10" i="31"/>
  <c r="AK10" i="31"/>
  <c r="AL10" i="31"/>
  <c r="AM10" i="31"/>
  <c r="AN10" i="31"/>
  <c r="AO10" i="31"/>
  <c r="AP10" i="31"/>
  <c r="AQ10" i="31"/>
  <c r="AR10" i="31"/>
  <c r="AS10" i="31"/>
  <c r="AT10" i="31"/>
  <c r="AU10" i="31"/>
  <c r="AV10" i="31"/>
  <c r="AW10" i="31"/>
  <c r="AX10" i="31"/>
  <c r="AY10" i="31"/>
  <c r="AZ10" i="31"/>
  <c r="BA10" i="31"/>
  <c r="BB10" i="31"/>
  <c r="BC10" i="31"/>
  <c r="BD10" i="31"/>
  <c r="AB11" i="31"/>
  <c r="AC11" i="31"/>
  <c r="AD11" i="31"/>
  <c r="AE11" i="31"/>
  <c r="AF11" i="31"/>
  <c r="AG11" i="31"/>
  <c r="AH11" i="31"/>
  <c r="AI11" i="31"/>
  <c r="AJ11" i="31"/>
  <c r="AK11" i="31"/>
  <c r="AL11" i="31"/>
  <c r="AM11" i="31"/>
  <c r="AN11" i="31"/>
  <c r="AO11" i="31"/>
  <c r="AP11" i="31"/>
  <c r="AQ11" i="31"/>
  <c r="AR11" i="31"/>
  <c r="AS11" i="31"/>
  <c r="AT11" i="31"/>
  <c r="AU11" i="31"/>
  <c r="AV11" i="31"/>
  <c r="AW11" i="31"/>
  <c r="AX11" i="31"/>
  <c r="AY11" i="31"/>
  <c r="AZ11" i="31"/>
  <c r="BA11" i="31"/>
  <c r="BB11" i="31"/>
  <c r="BC11" i="31"/>
  <c r="BD11" i="31"/>
  <c r="AB12" i="31"/>
  <c r="AC12" i="31"/>
  <c r="AD12" i="31"/>
  <c r="AE12" i="31"/>
  <c r="AF12" i="31"/>
  <c r="AG12" i="31"/>
  <c r="AH12" i="31"/>
  <c r="AI12" i="31"/>
  <c r="AJ12" i="31"/>
  <c r="AK12" i="31"/>
  <c r="AL12" i="31"/>
  <c r="AM12" i="31"/>
  <c r="AN12" i="31"/>
  <c r="AO12" i="31"/>
  <c r="AP12" i="31"/>
  <c r="AQ12" i="31"/>
  <c r="AR12" i="31"/>
  <c r="AS12" i="31"/>
  <c r="AT12" i="31"/>
  <c r="AU12" i="31"/>
  <c r="AV12" i="31"/>
  <c r="AW12" i="31"/>
  <c r="AX12" i="31"/>
  <c r="AY12" i="31"/>
  <c r="AZ12" i="31"/>
  <c r="BA12" i="31"/>
  <c r="BB12" i="31"/>
  <c r="BC12" i="31"/>
  <c r="BD12" i="31"/>
  <c r="AB13" i="31"/>
  <c r="AC13" i="31"/>
  <c r="AD13" i="31"/>
  <c r="AE13" i="31"/>
  <c r="AF13" i="31"/>
  <c r="AG13" i="31"/>
  <c r="AH13" i="31"/>
  <c r="AI13" i="31"/>
  <c r="AJ13" i="31"/>
  <c r="AK13" i="31"/>
  <c r="AL13" i="31"/>
  <c r="AM13" i="31"/>
  <c r="AN13" i="31"/>
  <c r="AO13" i="31"/>
  <c r="AP13" i="31"/>
  <c r="AQ13" i="31"/>
  <c r="AR13" i="31"/>
  <c r="AS13" i="31"/>
  <c r="AT13" i="31"/>
  <c r="AU13" i="31"/>
  <c r="AV13" i="31"/>
  <c r="AW13" i="31"/>
  <c r="AX13" i="31"/>
  <c r="AY13" i="31"/>
  <c r="AZ13" i="31"/>
  <c r="BA13" i="31"/>
  <c r="BB13" i="31"/>
  <c r="BC13" i="31"/>
  <c r="BD13" i="31"/>
  <c r="AB14" i="31"/>
  <c r="AC14" i="31"/>
  <c r="AD14" i="31"/>
  <c r="AE14" i="31"/>
  <c r="AF14" i="31"/>
  <c r="AG14" i="31"/>
  <c r="AH14" i="31"/>
  <c r="AI14" i="31"/>
  <c r="AJ14" i="31"/>
  <c r="AK14" i="31"/>
  <c r="AL14" i="31"/>
  <c r="AM14" i="31"/>
  <c r="AN14" i="31"/>
  <c r="AO14" i="31"/>
  <c r="AP14" i="31"/>
  <c r="AQ14" i="31"/>
  <c r="AR14" i="31"/>
  <c r="AS14" i="31"/>
  <c r="AT14" i="31"/>
  <c r="AU14" i="31"/>
  <c r="AV14" i="31"/>
  <c r="AW14" i="31"/>
  <c r="AX14" i="31"/>
  <c r="AY14" i="31"/>
  <c r="AZ14" i="31"/>
  <c r="BA14" i="31"/>
  <c r="BB14" i="31"/>
  <c r="BC14" i="31"/>
  <c r="BD14" i="31"/>
  <c r="AB15" i="31"/>
  <c r="AC15" i="31"/>
  <c r="AD15" i="31"/>
  <c r="AE15" i="31"/>
  <c r="AF15" i="31"/>
  <c r="AG15" i="31"/>
  <c r="AH15" i="31"/>
  <c r="AI15" i="31"/>
  <c r="AJ15" i="31"/>
  <c r="AK15" i="31"/>
  <c r="AL15" i="31"/>
  <c r="AM15" i="31"/>
  <c r="AN15" i="31"/>
  <c r="AO15" i="31"/>
  <c r="AP15" i="31"/>
  <c r="AQ15" i="31"/>
  <c r="AR15" i="31"/>
  <c r="AS15" i="31"/>
  <c r="AT15" i="31"/>
  <c r="AU15" i="31"/>
  <c r="AV15" i="31"/>
  <c r="AW15" i="31"/>
  <c r="AX15" i="31"/>
  <c r="AY15" i="31"/>
  <c r="AZ15" i="31"/>
  <c r="BA15" i="31"/>
  <c r="BB15" i="31"/>
  <c r="BC15" i="31"/>
  <c r="BD15" i="31"/>
  <c r="AA5" i="31"/>
  <c r="AA6" i="31"/>
  <c r="AA7" i="31"/>
  <c r="AA8" i="31"/>
  <c r="AA9" i="31"/>
  <c r="AA10" i="31"/>
  <c r="AA11" i="31"/>
  <c r="AA12" i="31"/>
  <c r="AA13" i="31"/>
  <c r="AA14" i="31"/>
  <c r="AA15" i="31"/>
  <c r="AA4" i="31"/>
  <c r="C4" i="31"/>
  <c r="D4" i="31"/>
  <c r="E4" i="31"/>
  <c r="F4" i="31"/>
  <c r="G4" i="31"/>
  <c r="H4" i="31"/>
  <c r="I4" i="31"/>
  <c r="J4" i="31"/>
  <c r="K4" i="31"/>
  <c r="L4" i="31"/>
  <c r="M4" i="31"/>
  <c r="N4" i="31"/>
  <c r="O4" i="31"/>
  <c r="P4" i="31"/>
  <c r="Q4" i="31"/>
  <c r="R4" i="31"/>
  <c r="S4" i="31"/>
  <c r="T4" i="31"/>
  <c r="U4" i="31"/>
  <c r="C5" i="31"/>
  <c r="D5" i="31"/>
  <c r="E5" i="31"/>
  <c r="F5" i="31"/>
  <c r="G5" i="31"/>
  <c r="H5" i="31"/>
  <c r="I5" i="31"/>
  <c r="J5" i="31"/>
  <c r="K5" i="31"/>
  <c r="L5" i="31"/>
  <c r="M5" i="31"/>
  <c r="N5" i="31"/>
  <c r="O5" i="31"/>
  <c r="P5" i="31"/>
  <c r="Q5" i="31"/>
  <c r="R5" i="31"/>
  <c r="S5" i="31"/>
  <c r="T5" i="31"/>
  <c r="C6" i="31"/>
  <c r="D6" i="31"/>
  <c r="E6" i="31"/>
  <c r="F6" i="31"/>
  <c r="G6" i="31"/>
  <c r="H6" i="31"/>
  <c r="I6" i="31"/>
  <c r="J6" i="31"/>
  <c r="K6" i="31"/>
  <c r="L6" i="31"/>
  <c r="M6" i="31"/>
  <c r="N6" i="31"/>
  <c r="O6" i="31"/>
  <c r="P6" i="31"/>
  <c r="Q6" i="31"/>
  <c r="R6" i="31"/>
  <c r="S6" i="31"/>
  <c r="T6" i="31"/>
  <c r="C7" i="31"/>
  <c r="D7" i="31"/>
  <c r="E7" i="31"/>
  <c r="F7" i="31"/>
  <c r="G7" i="31"/>
  <c r="H7" i="31"/>
  <c r="I7" i="31"/>
  <c r="J7" i="31"/>
  <c r="K7" i="31"/>
  <c r="L7" i="31"/>
  <c r="M7" i="31"/>
  <c r="N7" i="31"/>
  <c r="O7" i="31"/>
  <c r="P7" i="31"/>
  <c r="Q7" i="31"/>
  <c r="R7" i="31"/>
  <c r="S7" i="31"/>
  <c r="T7" i="31"/>
  <c r="C8" i="31"/>
  <c r="D8" i="31"/>
  <c r="E8" i="31"/>
  <c r="F8" i="31"/>
  <c r="G8" i="31"/>
  <c r="H8" i="31"/>
  <c r="I8" i="31"/>
  <c r="J8" i="31"/>
  <c r="K8" i="31"/>
  <c r="L8" i="31"/>
  <c r="M8" i="31"/>
  <c r="N8" i="31"/>
  <c r="O8" i="31"/>
  <c r="P8" i="31"/>
  <c r="Q8" i="31"/>
  <c r="R8" i="31"/>
  <c r="S8" i="31"/>
  <c r="T8" i="31"/>
  <c r="C9" i="31"/>
  <c r="D9" i="31"/>
  <c r="E9" i="31"/>
  <c r="F9" i="31"/>
  <c r="G9" i="31"/>
  <c r="H9" i="31"/>
  <c r="I9" i="31"/>
  <c r="J9" i="31"/>
  <c r="K9" i="31"/>
  <c r="L9" i="31"/>
  <c r="M9" i="31"/>
  <c r="N9" i="31"/>
  <c r="O9" i="31"/>
  <c r="P9" i="31"/>
  <c r="Q9" i="31"/>
  <c r="R9" i="31"/>
  <c r="S9" i="31"/>
  <c r="T9" i="31"/>
  <c r="C10" i="31"/>
  <c r="D10" i="31"/>
  <c r="E10" i="31"/>
  <c r="F10" i="31"/>
  <c r="G10" i="31"/>
  <c r="H10" i="31"/>
  <c r="I10" i="31"/>
  <c r="J10" i="31"/>
  <c r="K10" i="31"/>
  <c r="L10" i="31"/>
  <c r="M10" i="31"/>
  <c r="N10" i="31"/>
  <c r="O10" i="31"/>
  <c r="P10" i="31"/>
  <c r="Q10" i="31"/>
  <c r="R10" i="31"/>
  <c r="S10" i="31"/>
  <c r="T10" i="31"/>
  <c r="C11" i="31"/>
  <c r="D11" i="31"/>
  <c r="E11" i="31"/>
  <c r="F11" i="31"/>
  <c r="G11" i="31"/>
  <c r="H11" i="31"/>
  <c r="I11" i="31"/>
  <c r="J11" i="31"/>
  <c r="K11" i="31"/>
  <c r="L11" i="31"/>
  <c r="M11" i="31"/>
  <c r="N11" i="31"/>
  <c r="O11" i="31"/>
  <c r="P11" i="31"/>
  <c r="Q11" i="31"/>
  <c r="R11" i="31"/>
  <c r="S11" i="31"/>
  <c r="T11" i="31"/>
  <c r="C12" i="31"/>
  <c r="D12" i="31"/>
  <c r="E12" i="31"/>
  <c r="F12" i="31"/>
  <c r="G12" i="31"/>
  <c r="H12" i="31"/>
  <c r="I12" i="31"/>
  <c r="J12" i="31"/>
  <c r="K12" i="31"/>
  <c r="L12" i="31"/>
  <c r="M12" i="31"/>
  <c r="N12" i="31"/>
  <c r="O12" i="31"/>
  <c r="P12" i="31"/>
  <c r="Q12" i="31"/>
  <c r="R12" i="31"/>
  <c r="S12" i="31"/>
  <c r="T12" i="31"/>
  <c r="C13" i="31"/>
  <c r="D13" i="31"/>
  <c r="E13" i="31"/>
  <c r="F13" i="31"/>
  <c r="G13" i="31"/>
  <c r="H13" i="31"/>
  <c r="I13" i="31"/>
  <c r="J13" i="31"/>
  <c r="K13" i="31"/>
  <c r="L13" i="31"/>
  <c r="M13" i="31"/>
  <c r="N13" i="31"/>
  <c r="O13" i="31"/>
  <c r="P13" i="31"/>
  <c r="Q13" i="31"/>
  <c r="R13" i="31"/>
  <c r="S13" i="31"/>
  <c r="T13" i="31"/>
  <c r="C14" i="31"/>
  <c r="D14" i="31"/>
  <c r="E14" i="31"/>
  <c r="F14" i="31"/>
  <c r="G14" i="31"/>
  <c r="H14" i="31"/>
  <c r="I14" i="31"/>
  <c r="J14" i="31"/>
  <c r="K14" i="31"/>
  <c r="L14" i="31"/>
  <c r="M14" i="31"/>
  <c r="N14" i="31"/>
  <c r="O14" i="31"/>
  <c r="P14" i="31"/>
  <c r="Q14" i="31"/>
  <c r="R14" i="31"/>
  <c r="S14" i="31"/>
  <c r="T14" i="31"/>
  <c r="C15" i="31"/>
  <c r="D15" i="31"/>
  <c r="E15" i="31"/>
  <c r="F15" i="31"/>
  <c r="G15" i="31"/>
  <c r="H15" i="31"/>
  <c r="I15" i="31"/>
  <c r="J15" i="31"/>
  <c r="K15" i="31"/>
  <c r="L15" i="31"/>
  <c r="M15" i="31"/>
  <c r="N15" i="31"/>
  <c r="O15" i="31"/>
  <c r="P15" i="31"/>
  <c r="Q15" i="31"/>
  <c r="R15" i="31"/>
  <c r="S15" i="31"/>
  <c r="T15" i="31"/>
  <c r="B5" i="31"/>
  <c r="B6" i="31"/>
  <c r="B7" i="31"/>
  <c r="B8" i="31"/>
  <c r="B9" i="31"/>
  <c r="B10" i="31"/>
  <c r="B11" i="31"/>
  <c r="B12" i="31"/>
  <c r="B13" i="31"/>
  <c r="B14" i="31"/>
  <c r="B15" i="31"/>
  <c r="B4" i="31"/>
  <c r="CX4" i="8"/>
  <c r="HF4" i="8"/>
  <c r="BP4" i="8"/>
  <c r="HI4" i="8"/>
  <c r="DC4" i="8"/>
  <c r="HG4" i="8"/>
  <c r="HJ4" i="8"/>
  <c r="HL4" i="8"/>
  <c r="CX5" i="8"/>
  <c r="HF5" i="8"/>
  <c r="BP5" i="8"/>
  <c r="HI5" i="8"/>
  <c r="DC5" i="8"/>
  <c r="HG5" i="8"/>
  <c r="HJ5" i="8"/>
  <c r="HL5" i="8"/>
  <c r="CX6" i="8"/>
  <c r="HF6" i="8"/>
  <c r="BP6" i="8"/>
  <c r="HI6" i="8"/>
  <c r="DC6" i="8"/>
  <c r="HG6" i="8"/>
  <c r="HJ6" i="8"/>
  <c r="HL6" i="8"/>
  <c r="CX7" i="8"/>
  <c r="HF7" i="8"/>
  <c r="BP7" i="8"/>
  <c r="HI7" i="8"/>
  <c r="DC7" i="8"/>
  <c r="HG7" i="8"/>
  <c r="HJ7" i="8"/>
  <c r="HL7" i="8"/>
  <c r="CX8" i="8"/>
  <c r="HF8" i="8"/>
  <c r="BP8" i="8"/>
  <c r="HI8" i="8"/>
  <c r="DC8" i="8"/>
  <c r="HG8" i="8"/>
  <c r="HJ8" i="8"/>
  <c r="HL8" i="8"/>
  <c r="CX9" i="8"/>
  <c r="HF9" i="8"/>
  <c r="BP9" i="8"/>
  <c r="HI9" i="8"/>
  <c r="DC9" i="8"/>
  <c r="HG9" i="8"/>
  <c r="HJ9" i="8"/>
  <c r="HL9" i="8"/>
  <c r="CX10" i="8"/>
  <c r="HF10" i="8"/>
  <c r="BP10" i="8"/>
  <c r="HI10" i="8"/>
  <c r="DC10" i="8"/>
  <c r="HG10" i="8"/>
  <c r="HJ10" i="8"/>
  <c r="HL10" i="8"/>
  <c r="CX11" i="8"/>
  <c r="HF11" i="8"/>
  <c r="BP11" i="8"/>
  <c r="HI11" i="8"/>
  <c r="DC11" i="8"/>
  <c r="HG11" i="8"/>
  <c r="HJ11" i="8"/>
  <c r="HL11" i="8"/>
  <c r="CX12" i="8"/>
  <c r="HF12" i="8"/>
  <c r="BP12" i="8"/>
  <c r="HI12" i="8"/>
  <c r="DC12" i="8"/>
  <c r="HG12" i="8"/>
  <c r="HJ12" i="8"/>
  <c r="HL12" i="8"/>
  <c r="CX13" i="8"/>
  <c r="HF13" i="8"/>
  <c r="BP13" i="8"/>
  <c r="HI13" i="8"/>
  <c r="DC13" i="8"/>
  <c r="HG13" i="8"/>
  <c r="HJ13" i="8"/>
  <c r="HL13" i="8"/>
  <c r="CX14" i="8"/>
  <c r="HF14" i="8"/>
  <c r="BP14" i="8"/>
  <c r="HI14" i="8"/>
  <c r="DC14" i="8"/>
  <c r="HG14" i="8"/>
  <c r="HJ14" i="8"/>
  <c r="HL14" i="8"/>
  <c r="CX15" i="8"/>
  <c r="HF15" i="8"/>
  <c r="BP15" i="8"/>
  <c r="HI15" i="8"/>
  <c r="DC15" i="8"/>
  <c r="HG15" i="8"/>
  <c r="HJ15" i="8"/>
  <c r="HL15" i="8"/>
  <c r="D44" i="11"/>
  <c r="L5" i="6"/>
  <c r="P5" i="6"/>
  <c r="L6" i="6"/>
  <c r="P6" i="6"/>
  <c r="L7" i="6"/>
  <c r="P7" i="6"/>
  <c r="L8" i="6"/>
  <c r="P8" i="6"/>
  <c r="L9" i="6"/>
  <c r="P9" i="6"/>
  <c r="L10" i="6"/>
  <c r="P10" i="6"/>
  <c r="L11" i="6"/>
  <c r="P11" i="6"/>
  <c r="L12" i="6"/>
  <c r="P12" i="6"/>
  <c r="L13" i="6"/>
  <c r="P13" i="6"/>
  <c r="L14" i="6"/>
  <c r="P14" i="6"/>
  <c r="L15" i="6"/>
  <c r="P15" i="6"/>
  <c r="L16" i="6"/>
  <c r="P16" i="6"/>
  <c r="L17" i="6"/>
  <c r="P17" i="6"/>
  <c r="L18" i="6"/>
  <c r="P18" i="6"/>
  <c r="L19" i="6"/>
  <c r="P19" i="6"/>
  <c r="L20" i="6"/>
  <c r="P20" i="6"/>
  <c r="L4" i="6"/>
  <c r="P4" i="6"/>
  <c r="K5" i="6"/>
  <c r="O5" i="6"/>
  <c r="K6" i="6"/>
  <c r="O6" i="6"/>
  <c r="K7" i="6"/>
  <c r="O7" i="6"/>
  <c r="K8" i="6"/>
  <c r="O8" i="6"/>
  <c r="K9" i="6"/>
  <c r="O9" i="6"/>
  <c r="K10" i="6"/>
  <c r="O10" i="6"/>
  <c r="K11" i="6"/>
  <c r="O11" i="6"/>
  <c r="K12" i="6"/>
  <c r="O12" i="6"/>
  <c r="K13" i="6"/>
  <c r="O13" i="6"/>
  <c r="K14" i="6"/>
  <c r="O14" i="6"/>
  <c r="K15" i="6"/>
  <c r="O15" i="6"/>
  <c r="K16" i="6"/>
  <c r="O16" i="6"/>
  <c r="K17" i="6"/>
  <c r="O17" i="6"/>
  <c r="K18" i="6"/>
  <c r="O18" i="6"/>
  <c r="K19" i="6"/>
  <c r="O19" i="6"/>
  <c r="K20" i="6"/>
  <c r="O20" i="6"/>
  <c r="K4" i="6"/>
  <c r="O4" i="6"/>
  <c r="G5" i="1"/>
  <c r="G6" i="1"/>
  <c r="G7" i="1"/>
  <c r="G8" i="1"/>
  <c r="G9" i="1"/>
  <c r="G10" i="1"/>
  <c r="G11" i="1"/>
  <c r="G12" i="1"/>
  <c r="G13" i="1"/>
  <c r="G14" i="1"/>
  <c r="G15" i="1"/>
  <c r="G16" i="1"/>
  <c r="G17" i="1"/>
  <c r="G18" i="1"/>
  <c r="G19" i="1"/>
  <c r="G20" i="1"/>
  <c r="G21" i="1"/>
  <c r="G4" i="1"/>
  <c r="B5" i="1"/>
  <c r="B6" i="1"/>
  <c r="B7" i="1"/>
  <c r="B8" i="1"/>
  <c r="B9" i="1"/>
  <c r="B10" i="1"/>
  <c r="B11" i="1"/>
  <c r="B12" i="1"/>
  <c r="B13" i="1"/>
  <c r="B14" i="1"/>
  <c r="B15" i="1"/>
  <c r="B16" i="1"/>
  <c r="B17" i="1"/>
  <c r="B18" i="1"/>
  <c r="B19" i="1"/>
  <c r="B20" i="1"/>
  <c r="B21" i="1"/>
  <c r="B4" i="1"/>
  <c r="AF4" i="3"/>
  <c r="AH4" i="3"/>
  <c r="AG4" i="3"/>
  <c r="AI4" i="3"/>
  <c r="AJ4" i="3"/>
  <c r="AF5" i="3"/>
  <c r="AH5" i="3"/>
  <c r="AG5" i="3"/>
  <c r="AI5" i="3"/>
  <c r="AJ5" i="3"/>
  <c r="AF6" i="3"/>
  <c r="AH6" i="3"/>
  <c r="AG6" i="3"/>
  <c r="AI6" i="3"/>
  <c r="AJ6" i="3"/>
  <c r="AF7" i="3"/>
  <c r="AH7" i="3"/>
  <c r="AG7" i="3"/>
  <c r="AI7" i="3"/>
  <c r="AJ7" i="3"/>
  <c r="AF8" i="3"/>
  <c r="AH8" i="3"/>
  <c r="AG8" i="3"/>
  <c r="AI8" i="3"/>
  <c r="AJ8" i="3"/>
  <c r="AF9" i="3"/>
  <c r="AH9" i="3"/>
  <c r="AG9" i="3"/>
  <c r="AI9" i="3"/>
  <c r="AJ9" i="3"/>
  <c r="AF10" i="3"/>
  <c r="AH10" i="3"/>
  <c r="AG10" i="3"/>
  <c r="AI10" i="3"/>
  <c r="AJ10" i="3"/>
  <c r="AF11" i="3"/>
  <c r="AH11" i="3"/>
  <c r="AG11" i="3"/>
  <c r="AI11" i="3"/>
  <c r="AJ11" i="3"/>
  <c r="AF12" i="3"/>
  <c r="AH12" i="3"/>
  <c r="AG12" i="3"/>
  <c r="AI12" i="3"/>
  <c r="AJ12" i="3"/>
  <c r="AF13" i="3"/>
  <c r="AH13" i="3"/>
  <c r="AG13" i="3"/>
  <c r="AI13" i="3"/>
  <c r="AJ13" i="3"/>
  <c r="AF14" i="3"/>
  <c r="AH14" i="3"/>
  <c r="AG14" i="3"/>
  <c r="AI14" i="3"/>
  <c r="AJ14" i="3"/>
  <c r="AF15" i="3"/>
  <c r="AH15" i="3"/>
  <c r="AG15" i="3"/>
  <c r="AI15" i="3"/>
  <c r="AJ15" i="3"/>
  <c r="AF16" i="3"/>
  <c r="AH16" i="3"/>
  <c r="AG16" i="3"/>
  <c r="AI16" i="3"/>
  <c r="AJ16" i="3"/>
  <c r="AF17" i="3"/>
  <c r="AH17" i="3"/>
  <c r="AG17" i="3"/>
  <c r="AI17" i="3"/>
  <c r="AJ17" i="3"/>
  <c r="AF18" i="3"/>
  <c r="AH18" i="3"/>
  <c r="AG18" i="3"/>
  <c r="AI18" i="3"/>
  <c r="AJ18" i="3"/>
  <c r="AF19" i="3"/>
  <c r="AH19" i="3"/>
  <c r="AG19" i="3"/>
  <c r="AI19" i="3"/>
  <c r="AJ19" i="3"/>
  <c r="AF20" i="3"/>
  <c r="AH20" i="3"/>
  <c r="AG20" i="3"/>
  <c r="AI20" i="3"/>
  <c r="AJ20" i="3"/>
  <c r="C33" i="10"/>
  <c r="J6" i="3"/>
  <c r="W6" i="3"/>
  <c r="J7" i="3"/>
  <c r="W7" i="3"/>
  <c r="J8" i="3"/>
  <c r="W8" i="3"/>
  <c r="J9" i="3"/>
  <c r="W9" i="3"/>
  <c r="J10" i="3"/>
  <c r="W10" i="3"/>
  <c r="J11" i="3"/>
  <c r="W11" i="3"/>
  <c r="J12" i="3"/>
  <c r="W12" i="3"/>
  <c r="J13" i="3"/>
  <c r="W13" i="3"/>
  <c r="J14" i="3"/>
  <c r="W14" i="3"/>
  <c r="J15" i="3"/>
  <c r="W15" i="3"/>
  <c r="J16" i="3"/>
  <c r="W16" i="3"/>
  <c r="J17" i="3"/>
  <c r="W17" i="3"/>
  <c r="J18" i="3"/>
  <c r="W18" i="3"/>
  <c r="J19" i="3"/>
  <c r="W19" i="3"/>
  <c r="J20" i="3"/>
  <c r="W20" i="3"/>
  <c r="J21" i="3"/>
  <c r="W21" i="3"/>
  <c r="J5" i="3"/>
  <c r="W5" i="3"/>
  <c r="E6" i="3"/>
  <c r="R6" i="3"/>
  <c r="E7" i="3"/>
  <c r="R7" i="3"/>
  <c r="E8" i="3"/>
  <c r="R8" i="3"/>
  <c r="E9" i="3"/>
  <c r="R9" i="3"/>
  <c r="E10" i="3"/>
  <c r="R10" i="3"/>
  <c r="E11" i="3"/>
  <c r="R11" i="3"/>
  <c r="E12" i="3"/>
  <c r="R12" i="3"/>
  <c r="E13" i="3"/>
  <c r="R13" i="3"/>
  <c r="E14" i="3"/>
  <c r="R14" i="3"/>
  <c r="E15" i="3"/>
  <c r="R15" i="3"/>
  <c r="E16" i="3"/>
  <c r="R16" i="3"/>
  <c r="E17" i="3"/>
  <c r="R17" i="3"/>
  <c r="E18" i="3"/>
  <c r="R18" i="3"/>
  <c r="E19" i="3"/>
  <c r="R19" i="3"/>
  <c r="E20" i="3"/>
  <c r="R20" i="3"/>
  <c r="E21" i="3"/>
  <c r="R21" i="3"/>
  <c r="E5" i="3"/>
  <c r="R5" i="3"/>
  <c r="E18" i="34"/>
  <c r="E17" i="34"/>
  <c r="E16" i="34"/>
  <c r="E15" i="34"/>
  <c r="E14" i="34"/>
  <c r="E13" i="34"/>
  <c r="E12" i="34"/>
  <c r="E11" i="34"/>
  <c r="E10" i="34"/>
  <c r="E9" i="34"/>
  <c r="E8" i="34"/>
  <c r="E7" i="34"/>
  <c r="E6" i="34"/>
  <c r="E5" i="34"/>
  <c r="E4" i="34"/>
  <c r="E3" i="34"/>
  <c r="J2" i="34"/>
  <c r="E2" i="34"/>
  <c r="EK5" i="8"/>
  <c r="EQ5" i="8"/>
  <c r="EW5" i="8"/>
  <c r="EK6" i="8"/>
  <c r="EQ6" i="8"/>
  <c r="EW6" i="8"/>
  <c r="EK7" i="8"/>
  <c r="EQ7" i="8"/>
  <c r="EW7" i="8"/>
  <c r="EK8" i="8"/>
  <c r="EQ8" i="8"/>
  <c r="EW8" i="8"/>
  <c r="EK9" i="8"/>
  <c r="EQ9" i="8"/>
  <c r="EW9" i="8"/>
  <c r="EK10" i="8"/>
  <c r="EQ10" i="8"/>
  <c r="EW10" i="8"/>
  <c r="EK11" i="8"/>
  <c r="EQ11" i="8"/>
  <c r="EW11" i="8"/>
  <c r="EK12" i="8"/>
  <c r="EQ12" i="8"/>
  <c r="EW12" i="8"/>
  <c r="EK13" i="8"/>
  <c r="EQ13" i="8"/>
  <c r="EW13" i="8"/>
  <c r="EK14" i="8"/>
  <c r="EQ14" i="8"/>
  <c r="EW14" i="8"/>
  <c r="EK15" i="8"/>
  <c r="EQ15" i="8"/>
  <c r="EW15" i="8"/>
  <c r="EK4" i="8"/>
  <c r="EQ4" i="8"/>
  <c r="EW4" i="8"/>
  <c r="EJ5" i="8"/>
  <c r="EP5" i="8"/>
  <c r="EV5" i="8"/>
  <c r="EJ6" i="8"/>
  <c r="EP6" i="8"/>
  <c r="EV6" i="8"/>
  <c r="EJ7" i="8"/>
  <c r="EP7" i="8"/>
  <c r="EV7" i="8"/>
  <c r="EJ8" i="8"/>
  <c r="EP8" i="8"/>
  <c r="EV8" i="8"/>
  <c r="EJ9" i="8"/>
  <c r="EP9" i="8"/>
  <c r="EV9" i="8"/>
  <c r="EJ10" i="8"/>
  <c r="EP10" i="8"/>
  <c r="EV10" i="8"/>
  <c r="EJ11" i="8"/>
  <c r="EP11" i="8"/>
  <c r="EV11" i="8"/>
  <c r="EJ12" i="8"/>
  <c r="EP12" i="8"/>
  <c r="EV12" i="8"/>
  <c r="EJ13" i="8"/>
  <c r="EP13" i="8"/>
  <c r="EV13" i="8"/>
  <c r="EJ14" i="8"/>
  <c r="EP14" i="8"/>
  <c r="EV14" i="8"/>
  <c r="EJ15" i="8"/>
  <c r="EP15" i="8"/>
  <c r="EV15" i="8"/>
  <c r="EJ4" i="8"/>
  <c r="EP4" i="8"/>
  <c r="EV4" i="8"/>
  <c r="EI5" i="8"/>
  <c r="EO5" i="8"/>
  <c r="EU5" i="8"/>
  <c r="EI6" i="8"/>
  <c r="EO6" i="8"/>
  <c r="EU6" i="8"/>
  <c r="EI7" i="8"/>
  <c r="EO7" i="8"/>
  <c r="EU7" i="8"/>
  <c r="EI8" i="8"/>
  <c r="EO8" i="8"/>
  <c r="EU8" i="8"/>
  <c r="EI9" i="8"/>
  <c r="EO9" i="8"/>
  <c r="EU9" i="8"/>
  <c r="EI10" i="8"/>
  <c r="EO10" i="8"/>
  <c r="EU10" i="8"/>
  <c r="EI11" i="8"/>
  <c r="EO11" i="8"/>
  <c r="EU11" i="8"/>
  <c r="EI12" i="8"/>
  <c r="EO12" i="8"/>
  <c r="EU12" i="8"/>
  <c r="EI13" i="8"/>
  <c r="EO13" i="8"/>
  <c r="EU13" i="8"/>
  <c r="EI14" i="8"/>
  <c r="EO14" i="8"/>
  <c r="EU14" i="8"/>
  <c r="EI15" i="8"/>
  <c r="EO15" i="8"/>
  <c r="EU15" i="8"/>
  <c r="EI4" i="8"/>
  <c r="EO4" i="8"/>
  <c r="EU4" i="8"/>
  <c r="DW5" i="8"/>
  <c r="EH5" i="8"/>
  <c r="EN5" i="8"/>
  <c r="ET5" i="8"/>
  <c r="DW6" i="8"/>
  <c r="EH6" i="8"/>
  <c r="EN6" i="8"/>
  <c r="ET6" i="8"/>
  <c r="DW7" i="8"/>
  <c r="EH7" i="8"/>
  <c r="EN7" i="8"/>
  <c r="ET7" i="8"/>
  <c r="DW8" i="8"/>
  <c r="EH8" i="8"/>
  <c r="EN8" i="8"/>
  <c r="ET8" i="8"/>
  <c r="DW9" i="8"/>
  <c r="EH9" i="8"/>
  <c r="EN9" i="8"/>
  <c r="ET9" i="8"/>
  <c r="DW10" i="8"/>
  <c r="EH10" i="8"/>
  <c r="EN10" i="8"/>
  <c r="ET10" i="8"/>
  <c r="DW11" i="8"/>
  <c r="EH11" i="8"/>
  <c r="EN11" i="8"/>
  <c r="ET11" i="8"/>
  <c r="DW12" i="8"/>
  <c r="EH12" i="8"/>
  <c r="EN12" i="8"/>
  <c r="ET12" i="8"/>
  <c r="DW13" i="8"/>
  <c r="EH13" i="8"/>
  <c r="EN13" i="8"/>
  <c r="ET13" i="8"/>
  <c r="DW14" i="8"/>
  <c r="EH14" i="8"/>
  <c r="EN14" i="8"/>
  <c r="ET14" i="8"/>
  <c r="DW15" i="8"/>
  <c r="EH15" i="8"/>
  <c r="EN15" i="8"/>
  <c r="ET15" i="8"/>
  <c r="DW4" i="8"/>
  <c r="EH4" i="8"/>
  <c r="EN4" i="8"/>
  <c r="ET4" i="8"/>
  <c r="DV5" i="8"/>
  <c r="EG5" i="8"/>
  <c r="EM5" i="8"/>
  <c r="ES5" i="8"/>
  <c r="DV6" i="8"/>
  <c r="EG6" i="8"/>
  <c r="EM6" i="8"/>
  <c r="ES6" i="8"/>
  <c r="DV7" i="8"/>
  <c r="EG7" i="8"/>
  <c r="EM7" i="8"/>
  <c r="ES7" i="8"/>
  <c r="DV8" i="8"/>
  <c r="EG8" i="8"/>
  <c r="EM8" i="8"/>
  <c r="ES8" i="8"/>
  <c r="DV9" i="8"/>
  <c r="EG9" i="8"/>
  <c r="EM9" i="8"/>
  <c r="ES9" i="8"/>
  <c r="DV10" i="8"/>
  <c r="EG10" i="8"/>
  <c r="EM10" i="8"/>
  <c r="ES10" i="8"/>
  <c r="DV11" i="8"/>
  <c r="EG11" i="8"/>
  <c r="EM11" i="8"/>
  <c r="ES11" i="8"/>
  <c r="DV12" i="8"/>
  <c r="EG12" i="8"/>
  <c r="EM12" i="8"/>
  <c r="ES12" i="8"/>
  <c r="DV13" i="8"/>
  <c r="EG13" i="8"/>
  <c r="EM13" i="8"/>
  <c r="ES13" i="8"/>
  <c r="DV14" i="8"/>
  <c r="EG14" i="8"/>
  <c r="EM14" i="8"/>
  <c r="ES14" i="8"/>
  <c r="DV15" i="8"/>
  <c r="EG15" i="8"/>
  <c r="EM15" i="8"/>
  <c r="ES15" i="8"/>
  <c r="DV4" i="8"/>
  <c r="EG4" i="8"/>
  <c r="EM4" i="8"/>
  <c r="ES4" i="8"/>
  <c r="EL4" i="8"/>
  <c r="EL5" i="8"/>
  <c r="EL6" i="8"/>
  <c r="EL7" i="8"/>
  <c r="EL8" i="8"/>
  <c r="EL9" i="8"/>
  <c r="EL10" i="8"/>
  <c r="EL11" i="8"/>
  <c r="EL12" i="8"/>
  <c r="EL13" i="8"/>
  <c r="EL14" i="8"/>
  <c r="EL15" i="8"/>
  <c r="CY5" i="8"/>
  <c r="DI5" i="8"/>
  <c r="DD5" i="8"/>
  <c r="DN5" i="8"/>
  <c r="DT5" i="8"/>
  <c r="CY6" i="8"/>
  <c r="DI6" i="8"/>
  <c r="DD6" i="8"/>
  <c r="DN6" i="8"/>
  <c r="DT6" i="8"/>
  <c r="CY7" i="8"/>
  <c r="DI7" i="8"/>
  <c r="DD7" i="8"/>
  <c r="DN7" i="8"/>
  <c r="DT7" i="8"/>
  <c r="CY8" i="8"/>
  <c r="DI8" i="8"/>
  <c r="DD8" i="8"/>
  <c r="DN8" i="8"/>
  <c r="DT8" i="8"/>
  <c r="CY9" i="8"/>
  <c r="DI9" i="8"/>
  <c r="DD9" i="8"/>
  <c r="DN9" i="8"/>
  <c r="DT9" i="8"/>
  <c r="CY10" i="8"/>
  <c r="DI10" i="8"/>
  <c r="DD10" i="8"/>
  <c r="DN10" i="8"/>
  <c r="DT10" i="8"/>
  <c r="CY11" i="8"/>
  <c r="DI11" i="8"/>
  <c r="DD11" i="8"/>
  <c r="DN11" i="8"/>
  <c r="DT11" i="8"/>
  <c r="CY12" i="8"/>
  <c r="DI12" i="8"/>
  <c r="DD12" i="8"/>
  <c r="DN12" i="8"/>
  <c r="DT12" i="8"/>
  <c r="CY13" i="8"/>
  <c r="DI13" i="8"/>
  <c r="DD13" i="8"/>
  <c r="DN13" i="8"/>
  <c r="DT13" i="8"/>
  <c r="CY14" i="8"/>
  <c r="DI14" i="8"/>
  <c r="DD14" i="8"/>
  <c r="DN14" i="8"/>
  <c r="DT14" i="8"/>
  <c r="CY15" i="8"/>
  <c r="DI15" i="8"/>
  <c r="DD15" i="8"/>
  <c r="DN15" i="8"/>
  <c r="DT15" i="8"/>
  <c r="CY4" i="8"/>
  <c r="DI4" i="8"/>
  <c r="DD4" i="8"/>
  <c r="DN4" i="8"/>
  <c r="DT4" i="8"/>
  <c r="DH5" i="8"/>
  <c r="DM5" i="8"/>
  <c r="DS5" i="8"/>
  <c r="DH6" i="8"/>
  <c r="DM6" i="8"/>
  <c r="DS6" i="8"/>
  <c r="DH7" i="8"/>
  <c r="DM7" i="8"/>
  <c r="DS7" i="8"/>
  <c r="DH8" i="8"/>
  <c r="DM8" i="8"/>
  <c r="DS8" i="8"/>
  <c r="DH9" i="8"/>
  <c r="DM9" i="8"/>
  <c r="DS9" i="8"/>
  <c r="DH10" i="8"/>
  <c r="DM10" i="8"/>
  <c r="DS10" i="8"/>
  <c r="DH11" i="8"/>
  <c r="DM11" i="8"/>
  <c r="DS11" i="8"/>
  <c r="DH12" i="8"/>
  <c r="DM12" i="8"/>
  <c r="DS12" i="8"/>
  <c r="DH13" i="8"/>
  <c r="DM13" i="8"/>
  <c r="DS13" i="8"/>
  <c r="DH14" i="8"/>
  <c r="DM14" i="8"/>
  <c r="DS14" i="8"/>
  <c r="DH15" i="8"/>
  <c r="DM15" i="8"/>
  <c r="DS15" i="8"/>
  <c r="DH4" i="8"/>
  <c r="DM4" i="8"/>
  <c r="DS4" i="8"/>
  <c r="CW5" i="8"/>
  <c r="DG5" i="8"/>
  <c r="DB5" i="8"/>
  <c r="DL5" i="8"/>
  <c r="DR5" i="8"/>
  <c r="CW6" i="8"/>
  <c r="DG6" i="8"/>
  <c r="DB6" i="8"/>
  <c r="DL6" i="8"/>
  <c r="DR6" i="8"/>
  <c r="CW7" i="8"/>
  <c r="DG7" i="8"/>
  <c r="DB7" i="8"/>
  <c r="DL7" i="8"/>
  <c r="DR7" i="8"/>
  <c r="CW8" i="8"/>
  <c r="DG8" i="8"/>
  <c r="DB8" i="8"/>
  <c r="DL8" i="8"/>
  <c r="DR8" i="8"/>
  <c r="CW9" i="8"/>
  <c r="DG9" i="8"/>
  <c r="DB9" i="8"/>
  <c r="DL9" i="8"/>
  <c r="DR9" i="8"/>
  <c r="CW10" i="8"/>
  <c r="DG10" i="8"/>
  <c r="DB10" i="8"/>
  <c r="DL10" i="8"/>
  <c r="DR10" i="8"/>
  <c r="CW11" i="8"/>
  <c r="DG11" i="8"/>
  <c r="DB11" i="8"/>
  <c r="DL11" i="8"/>
  <c r="DR11" i="8"/>
  <c r="CW12" i="8"/>
  <c r="DG12" i="8"/>
  <c r="DB12" i="8"/>
  <c r="DL12" i="8"/>
  <c r="DR12" i="8"/>
  <c r="CW13" i="8"/>
  <c r="DG13" i="8"/>
  <c r="DB13" i="8"/>
  <c r="DL13" i="8"/>
  <c r="DR13" i="8"/>
  <c r="CW14" i="8"/>
  <c r="DG14" i="8"/>
  <c r="DB14" i="8"/>
  <c r="DL14" i="8"/>
  <c r="DR14" i="8"/>
  <c r="CW15" i="8"/>
  <c r="DG15" i="8"/>
  <c r="DB15" i="8"/>
  <c r="DL15" i="8"/>
  <c r="DR15" i="8"/>
  <c r="CW4" i="8"/>
  <c r="DG4" i="8"/>
  <c r="DB4" i="8"/>
  <c r="DL4" i="8"/>
  <c r="DR4" i="8"/>
  <c r="CV5" i="8"/>
  <c r="DF5" i="8"/>
  <c r="DA5" i="8"/>
  <c r="DK5" i="8"/>
  <c r="DQ5" i="8"/>
  <c r="CV6" i="8"/>
  <c r="DF6" i="8"/>
  <c r="DA6" i="8"/>
  <c r="DK6" i="8"/>
  <c r="DQ6" i="8"/>
  <c r="CV7" i="8"/>
  <c r="DF7" i="8"/>
  <c r="DA7" i="8"/>
  <c r="DK7" i="8"/>
  <c r="DQ7" i="8"/>
  <c r="CV8" i="8"/>
  <c r="DF8" i="8"/>
  <c r="DA8" i="8"/>
  <c r="DK8" i="8"/>
  <c r="DQ8" i="8"/>
  <c r="CV9" i="8"/>
  <c r="DF9" i="8"/>
  <c r="DA9" i="8"/>
  <c r="DK9" i="8"/>
  <c r="DQ9" i="8"/>
  <c r="CV10" i="8"/>
  <c r="DF10" i="8"/>
  <c r="DA10" i="8"/>
  <c r="DK10" i="8"/>
  <c r="DQ10" i="8"/>
  <c r="CV11" i="8"/>
  <c r="DF11" i="8"/>
  <c r="DA11" i="8"/>
  <c r="DK11" i="8"/>
  <c r="DQ11" i="8"/>
  <c r="CV12" i="8"/>
  <c r="DF12" i="8"/>
  <c r="DA12" i="8"/>
  <c r="DK12" i="8"/>
  <c r="DQ12" i="8"/>
  <c r="CV13" i="8"/>
  <c r="DF13" i="8"/>
  <c r="DA13" i="8"/>
  <c r="DK13" i="8"/>
  <c r="DQ13" i="8"/>
  <c r="CV14" i="8"/>
  <c r="DF14" i="8"/>
  <c r="DA14" i="8"/>
  <c r="DK14" i="8"/>
  <c r="DQ14" i="8"/>
  <c r="CV15" i="8"/>
  <c r="DF15" i="8"/>
  <c r="DA15" i="8"/>
  <c r="DK15" i="8"/>
  <c r="DQ15" i="8"/>
  <c r="CV4" i="8"/>
  <c r="DF4" i="8"/>
  <c r="DA4" i="8"/>
  <c r="DK4" i="8"/>
  <c r="DQ4" i="8"/>
  <c r="CU5" i="8"/>
  <c r="DE5" i="8"/>
  <c r="CZ5" i="8"/>
  <c r="DJ5" i="8"/>
  <c r="DP5" i="8"/>
  <c r="CU6" i="8"/>
  <c r="DE6" i="8"/>
  <c r="CZ6" i="8"/>
  <c r="DJ6" i="8"/>
  <c r="DP6" i="8"/>
  <c r="CU7" i="8"/>
  <c r="DE7" i="8"/>
  <c r="CZ7" i="8"/>
  <c r="DJ7" i="8"/>
  <c r="DP7" i="8"/>
  <c r="CU8" i="8"/>
  <c r="DE8" i="8"/>
  <c r="CZ8" i="8"/>
  <c r="DJ8" i="8"/>
  <c r="DP8" i="8"/>
  <c r="CU9" i="8"/>
  <c r="DE9" i="8"/>
  <c r="CZ9" i="8"/>
  <c r="DJ9" i="8"/>
  <c r="DP9" i="8"/>
  <c r="CU10" i="8"/>
  <c r="DE10" i="8"/>
  <c r="CZ10" i="8"/>
  <c r="DJ10" i="8"/>
  <c r="DP10" i="8"/>
  <c r="CU11" i="8"/>
  <c r="DE11" i="8"/>
  <c r="CZ11" i="8"/>
  <c r="DJ11" i="8"/>
  <c r="DP11" i="8"/>
  <c r="CU12" i="8"/>
  <c r="DE12" i="8"/>
  <c r="CZ12" i="8"/>
  <c r="DJ12" i="8"/>
  <c r="DP12" i="8"/>
  <c r="CU13" i="8"/>
  <c r="DE13" i="8"/>
  <c r="CZ13" i="8"/>
  <c r="DJ13" i="8"/>
  <c r="DP13" i="8"/>
  <c r="CU14" i="8"/>
  <c r="DE14" i="8"/>
  <c r="CZ14" i="8"/>
  <c r="DJ14" i="8"/>
  <c r="DP14" i="8"/>
  <c r="CU15" i="8"/>
  <c r="DE15" i="8"/>
  <c r="CZ15" i="8"/>
  <c r="DJ15" i="8"/>
  <c r="DP15" i="8"/>
  <c r="CU4" i="8"/>
  <c r="DE4" i="8"/>
  <c r="CZ4" i="8"/>
  <c r="DJ4" i="8"/>
  <c r="DP4" i="8"/>
  <c r="BP4" i="31"/>
  <c r="BV4" i="31"/>
  <c r="CI4" i="31"/>
  <c r="BP5" i="31"/>
  <c r="BV5" i="31"/>
  <c r="CI5" i="31"/>
  <c r="BP6" i="31"/>
  <c r="BV6" i="31"/>
  <c r="CI6" i="31"/>
  <c r="BP7" i="31"/>
  <c r="BV7" i="31"/>
  <c r="CI7" i="31"/>
  <c r="BP8" i="31"/>
  <c r="BV8" i="31"/>
  <c r="CI8" i="31"/>
  <c r="BP9" i="31"/>
  <c r="BV9" i="31"/>
  <c r="CI9" i="31"/>
  <c r="BP10" i="31"/>
  <c r="BV10" i="31"/>
  <c r="CI10" i="31"/>
  <c r="BP11" i="31"/>
  <c r="BV11" i="31"/>
  <c r="CI11" i="31"/>
  <c r="BP12" i="31"/>
  <c r="BV12" i="31"/>
  <c r="CI12" i="31"/>
  <c r="BP13" i="31"/>
  <c r="BV13" i="31"/>
  <c r="CI13" i="31"/>
  <c r="BP14" i="31"/>
  <c r="BV14" i="31"/>
  <c r="CI14" i="31"/>
  <c r="BP15" i="31"/>
  <c r="BV15" i="31"/>
  <c r="CI15" i="31"/>
  <c r="DY4" i="31"/>
  <c r="EL4" i="31"/>
  <c r="DY5" i="31"/>
  <c r="EL5" i="31"/>
  <c r="DY6" i="31"/>
  <c r="EL6" i="31"/>
  <c r="DY7" i="31"/>
  <c r="EL7" i="31"/>
  <c r="DY8" i="31"/>
  <c r="EL8" i="31"/>
  <c r="DY9" i="31"/>
  <c r="EL9" i="31"/>
  <c r="DY10" i="31"/>
  <c r="EL10" i="31"/>
  <c r="DY11" i="31"/>
  <c r="EL11" i="31"/>
  <c r="DY12" i="31"/>
  <c r="EL12" i="31"/>
  <c r="DY13" i="31"/>
  <c r="EL13" i="31"/>
  <c r="DY14" i="31"/>
  <c r="EL14" i="31"/>
  <c r="DY15" i="31"/>
  <c r="EL15" i="31"/>
  <c r="F30" i="33"/>
  <c r="F28" i="33"/>
  <c r="F26" i="33"/>
  <c r="F20" i="33"/>
  <c r="F9" i="33"/>
  <c r="F9" i="30"/>
  <c r="BC5" i="6"/>
  <c r="BE5" i="6"/>
  <c r="BC6" i="6"/>
  <c r="BE6" i="6"/>
  <c r="BC7" i="6"/>
  <c r="BE7" i="6"/>
  <c r="BC8" i="6"/>
  <c r="BE8" i="6"/>
  <c r="BC9" i="6"/>
  <c r="BE9" i="6"/>
  <c r="BC10" i="6"/>
  <c r="BE10" i="6"/>
  <c r="BC11" i="6"/>
  <c r="BE11" i="6"/>
  <c r="BC12" i="6"/>
  <c r="BE12" i="6"/>
  <c r="BC13" i="6"/>
  <c r="BE13" i="6"/>
  <c r="BC14" i="6"/>
  <c r="BE14" i="6"/>
  <c r="BC15" i="6"/>
  <c r="BE15" i="6"/>
  <c r="BC16" i="6"/>
  <c r="BE16" i="6"/>
  <c r="BC17" i="6"/>
  <c r="BE17" i="6"/>
  <c r="BC18" i="6"/>
  <c r="BE18" i="6"/>
  <c r="BC19" i="6"/>
  <c r="BE19" i="6"/>
  <c r="BC20" i="6"/>
  <c r="BE20" i="6"/>
  <c r="BC4" i="6"/>
  <c r="BE4" i="6"/>
  <c r="B4" i="6"/>
  <c r="BG4" i="6"/>
  <c r="GR4" i="8"/>
  <c r="GR5" i="8"/>
  <c r="GR6" i="8"/>
  <c r="GR7" i="8"/>
  <c r="GR8" i="8"/>
  <c r="GR9" i="8"/>
  <c r="GR10" i="8"/>
  <c r="GR11" i="8"/>
  <c r="GR12" i="8"/>
  <c r="GR13" i="8"/>
  <c r="GR14" i="8"/>
  <c r="GR15" i="8"/>
  <c r="D44" i="32"/>
  <c r="FO4" i="8"/>
  <c r="FO5" i="8"/>
  <c r="FO6" i="8"/>
  <c r="FO7" i="8"/>
  <c r="FO8" i="8"/>
  <c r="FO9" i="8"/>
  <c r="FO10" i="8"/>
  <c r="FO11" i="8"/>
  <c r="FO12" i="8"/>
  <c r="FO13" i="8"/>
  <c r="FO14" i="8"/>
  <c r="FO15" i="8"/>
  <c r="D43" i="32"/>
  <c r="E37" i="32"/>
  <c r="D37" i="32"/>
  <c r="CM4" i="8"/>
  <c r="CM5" i="8"/>
  <c r="CM6" i="8"/>
  <c r="CM7" i="8"/>
  <c r="CM8" i="8"/>
  <c r="CM9" i="8"/>
  <c r="CM10" i="8"/>
  <c r="CM11" i="8"/>
  <c r="CM12" i="8"/>
  <c r="CM13" i="8"/>
  <c r="CM14" i="8"/>
  <c r="CM15" i="8"/>
  <c r="E36" i="32"/>
  <c r="CG4" i="8"/>
  <c r="CG5" i="8"/>
  <c r="CG6" i="8"/>
  <c r="CG7" i="8"/>
  <c r="CG8" i="8"/>
  <c r="CG9" i="8"/>
  <c r="CG10" i="8"/>
  <c r="CG11" i="8"/>
  <c r="CG12" i="8"/>
  <c r="CG13" i="8"/>
  <c r="CG14" i="8"/>
  <c r="CG15" i="8"/>
  <c r="D36" i="32"/>
  <c r="E35" i="32"/>
  <c r="D35" i="32"/>
  <c r="GL4" i="8"/>
  <c r="GW4" i="8"/>
  <c r="GL5" i="8"/>
  <c r="GW5" i="8"/>
  <c r="GL6" i="8"/>
  <c r="GW6" i="8"/>
  <c r="GL7" i="8"/>
  <c r="GW7" i="8"/>
  <c r="GL8" i="8"/>
  <c r="GW8" i="8"/>
  <c r="GL9" i="8"/>
  <c r="GW9" i="8"/>
  <c r="GL10" i="8"/>
  <c r="GW10" i="8"/>
  <c r="GL11" i="8"/>
  <c r="GW11" i="8"/>
  <c r="GL12" i="8"/>
  <c r="GW12" i="8"/>
  <c r="GL13" i="8"/>
  <c r="GW13" i="8"/>
  <c r="GL14" i="8"/>
  <c r="GW14" i="8"/>
  <c r="GL15" i="8"/>
  <c r="GW15" i="8"/>
  <c r="E34" i="32"/>
  <c r="GF4" i="8"/>
  <c r="GQ4" i="8"/>
  <c r="GF5" i="8"/>
  <c r="GQ5" i="8"/>
  <c r="GF6" i="8"/>
  <c r="GQ6" i="8"/>
  <c r="GF7" i="8"/>
  <c r="GQ7" i="8"/>
  <c r="GF8" i="8"/>
  <c r="GQ8" i="8"/>
  <c r="GF9" i="8"/>
  <c r="GQ9" i="8"/>
  <c r="GF10" i="8"/>
  <c r="GQ10" i="8"/>
  <c r="GF11" i="8"/>
  <c r="GQ11" i="8"/>
  <c r="GF12" i="8"/>
  <c r="GQ12" i="8"/>
  <c r="GF13" i="8"/>
  <c r="GQ13" i="8"/>
  <c r="GF14" i="8"/>
  <c r="GQ14" i="8"/>
  <c r="GF15" i="8"/>
  <c r="GQ15" i="8"/>
  <c r="D34" i="32"/>
  <c r="FI4" i="8"/>
  <c r="FT4" i="8"/>
  <c r="FI5" i="8"/>
  <c r="FT5" i="8"/>
  <c r="FI6" i="8"/>
  <c r="FT6" i="8"/>
  <c r="FI7" i="8"/>
  <c r="FT7" i="8"/>
  <c r="FI8" i="8"/>
  <c r="FT8" i="8"/>
  <c r="FI9" i="8"/>
  <c r="FT9" i="8"/>
  <c r="FI10" i="8"/>
  <c r="FT10" i="8"/>
  <c r="FI11" i="8"/>
  <c r="FT11" i="8"/>
  <c r="FI12" i="8"/>
  <c r="FT12" i="8"/>
  <c r="FI13" i="8"/>
  <c r="FT13" i="8"/>
  <c r="FI14" i="8"/>
  <c r="FT14" i="8"/>
  <c r="FI15" i="8"/>
  <c r="FT15" i="8"/>
  <c r="E33" i="32"/>
  <c r="FC4" i="8"/>
  <c r="FN4" i="8"/>
  <c r="FC5" i="8"/>
  <c r="FN5" i="8"/>
  <c r="FC6" i="8"/>
  <c r="FN6" i="8"/>
  <c r="FC7" i="8"/>
  <c r="FN7" i="8"/>
  <c r="FC8" i="8"/>
  <c r="FN8" i="8"/>
  <c r="FC9" i="8"/>
  <c r="FN9" i="8"/>
  <c r="FC10" i="8"/>
  <c r="FN10" i="8"/>
  <c r="FC11" i="8"/>
  <c r="FN11" i="8"/>
  <c r="FC12" i="8"/>
  <c r="FN12" i="8"/>
  <c r="FC13" i="8"/>
  <c r="FN13" i="8"/>
  <c r="FC14" i="8"/>
  <c r="FN14" i="8"/>
  <c r="FC15" i="8"/>
  <c r="FN15" i="8"/>
  <c r="D33" i="32"/>
  <c r="E30" i="32"/>
  <c r="D30" i="32"/>
  <c r="CK4" i="8"/>
  <c r="CK5" i="8"/>
  <c r="CK6" i="8"/>
  <c r="CK7" i="8"/>
  <c r="CK8" i="8"/>
  <c r="CK9" i="8"/>
  <c r="CK10" i="8"/>
  <c r="CK11" i="8"/>
  <c r="CK12" i="8"/>
  <c r="CK13" i="8"/>
  <c r="CK14" i="8"/>
  <c r="CK15" i="8"/>
  <c r="E29" i="32"/>
  <c r="CE4" i="8"/>
  <c r="CE5" i="8"/>
  <c r="CE6" i="8"/>
  <c r="CE7" i="8"/>
  <c r="CE8" i="8"/>
  <c r="CE9" i="8"/>
  <c r="CE10" i="8"/>
  <c r="CE11" i="8"/>
  <c r="CE12" i="8"/>
  <c r="CE13" i="8"/>
  <c r="CE14" i="8"/>
  <c r="CE15" i="8"/>
  <c r="D29" i="32"/>
  <c r="E28" i="32"/>
  <c r="D28" i="32"/>
  <c r="GJ4" i="8"/>
  <c r="GU4" i="8"/>
  <c r="GJ5" i="8"/>
  <c r="GU5" i="8"/>
  <c r="GJ6" i="8"/>
  <c r="GU6" i="8"/>
  <c r="GJ7" i="8"/>
  <c r="GU7" i="8"/>
  <c r="GJ8" i="8"/>
  <c r="GU8" i="8"/>
  <c r="GJ9" i="8"/>
  <c r="GU9" i="8"/>
  <c r="GJ10" i="8"/>
  <c r="GU10" i="8"/>
  <c r="GJ11" i="8"/>
  <c r="GU11" i="8"/>
  <c r="GJ12" i="8"/>
  <c r="GU12" i="8"/>
  <c r="GJ13" i="8"/>
  <c r="GU13" i="8"/>
  <c r="GJ14" i="8"/>
  <c r="GU14" i="8"/>
  <c r="GJ15" i="8"/>
  <c r="GU15" i="8"/>
  <c r="E27" i="32"/>
  <c r="GD4" i="8"/>
  <c r="GO4" i="8"/>
  <c r="GD5" i="8"/>
  <c r="GO5" i="8"/>
  <c r="GD6" i="8"/>
  <c r="GO6" i="8"/>
  <c r="GD7" i="8"/>
  <c r="GO7" i="8"/>
  <c r="GD8" i="8"/>
  <c r="GO8" i="8"/>
  <c r="GD9" i="8"/>
  <c r="GO9" i="8"/>
  <c r="GD10" i="8"/>
  <c r="GO10" i="8"/>
  <c r="GD11" i="8"/>
  <c r="GO11" i="8"/>
  <c r="GD12" i="8"/>
  <c r="GO12" i="8"/>
  <c r="GD13" i="8"/>
  <c r="GO13" i="8"/>
  <c r="GD14" i="8"/>
  <c r="GO14" i="8"/>
  <c r="GD15" i="8"/>
  <c r="GO15" i="8"/>
  <c r="D27" i="32"/>
  <c r="FG4" i="8"/>
  <c r="FR4" i="8"/>
  <c r="FG5" i="8"/>
  <c r="FR5" i="8"/>
  <c r="FG6" i="8"/>
  <c r="FR6" i="8"/>
  <c r="FG7" i="8"/>
  <c r="FR7" i="8"/>
  <c r="FG8" i="8"/>
  <c r="FR8" i="8"/>
  <c r="FG9" i="8"/>
  <c r="FR9" i="8"/>
  <c r="FG10" i="8"/>
  <c r="FR10" i="8"/>
  <c r="FG11" i="8"/>
  <c r="FR11" i="8"/>
  <c r="FG12" i="8"/>
  <c r="FR12" i="8"/>
  <c r="FG13" i="8"/>
  <c r="FR13" i="8"/>
  <c r="FG14" i="8"/>
  <c r="FR14" i="8"/>
  <c r="FG15" i="8"/>
  <c r="FR15" i="8"/>
  <c r="E26" i="32"/>
  <c r="FA4" i="8"/>
  <c r="FL4" i="8"/>
  <c r="FA5" i="8"/>
  <c r="FL5" i="8"/>
  <c r="FA6" i="8"/>
  <c r="FL6" i="8"/>
  <c r="FA7" i="8"/>
  <c r="FL7" i="8"/>
  <c r="FA8" i="8"/>
  <c r="FL8" i="8"/>
  <c r="FA9" i="8"/>
  <c r="FL9" i="8"/>
  <c r="FA10" i="8"/>
  <c r="FL10" i="8"/>
  <c r="FA11" i="8"/>
  <c r="FL11" i="8"/>
  <c r="FA12" i="8"/>
  <c r="FL12" i="8"/>
  <c r="FA13" i="8"/>
  <c r="FL13" i="8"/>
  <c r="FA14" i="8"/>
  <c r="FL14" i="8"/>
  <c r="FA15" i="8"/>
  <c r="FL15" i="8"/>
  <c r="D26" i="32"/>
  <c r="E23" i="32"/>
  <c r="D23" i="32"/>
  <c r="CL4" i="8"/>
  <c r="CL5" i="8"/>
  <c r="CL6" i="8"/>
  <c r="CL7" i="8"/>
  <c r="CL8" i="8"/>
  <c r="CL9" i="8"/>
  <c r="CL10" i="8"/>
  <c r="CL11" i="8"/>
  <c r="CL12" i="8"/>
  <c r="CL13" i="8"/>
  <c r="CL14" i="8"/>
  <c r="CL15" i="8"/>
  <c r="E22" i="32"/>
  <c r="CF4" i="8"/>
  <c r="CF5" i="8"/>
  <c r="CF6" i="8"/>
  <c r="CF7" i="8"/>
  <c r="CF8" i="8"/>
  <c r="CF9" i="8"/>
  <c r="CF10" i="8"/>
  <c r="CF11" i="8"/>
  <c r="CF12" i="8"/>
  <c r="CF13" i="8"/>
  <c r="CF14" i="8"/>
  <c r="CF15" i="8"/>
  <c r="D22" i="32"/>
  <c r="E21" i="32"/>
  <c r="D21" i="32"/>
  <c r="GK4" i="8"/>
  <c r="GV4" i="8"/>
  <c r="GK5" i="8"/>
  <c r="GV5" i="8"/>
  <c r="GK6" i="8"/>
  <c r="GV6" i="8"/>
  <c r="GK7" i="8"/>
  <c r="GV7" i="8"/>
  <c r="GK8" i="8"/>
  <c r="GV8" i="8"/>
  <c r="GK9" i="8"/>
  <c r="GV9" i="8"/>
  <c r="GK10" i="8"/>
  <c r="GV10" i="8"/>
  <c r="GK11" i="8"/>
  <c r="GV11" i="8"/>
  <c r="GK12" i="8"/>
  <c r="GV12" i="8"/>
  <c r="GK13" i="8"/>
  <c r="GV13" i="8"/>
  <c r="GK14" i="8"/>
  <c r="GV14" i="8"/>
  <c r="GK15" i="8"/>
  <c r="GV15" i="8"/>
  <c r="E20" i="32"/>
  <c r="GE4" i="8"/>
  <c r="GP4" i="8"/>
  <c r="GE5" i="8"/>
  <c r="GP5" i="8"/>
  <c r="GE6" i="8"/>
  <c r="GP6" i="8"/>
  <c r="GE7" i="8"/>
  <c r="GP7" i="8"/>
  <c r="GE8" i="8"/>
  <c r="GP8" i="8"/>
  <c r="GE9" i="8"/>
  <c r="GP9" i="8"/>
  <c r="GE10" i="8"/>
  <c r="GP10" i="8"/>
  <c r="GE11" i="8"/>
  <c r="GP11" i="8"/>
  <c r="GE12" i="8"/>
  <c r="GP12" i="8"/>
  <c r="GE13" i="8"/>
  <c r="GP13" i="8"/>
  <c r="GE14" i="8"/>
  <c r="GP14" i="8"/>
  <c r="GE15" i="8"/>
  <c r="GP15" i="8"/>
  <c r="D20" i="32"/>
  <c r="FH4" i="8"/>
  <c r="FS4" i="8"/>
  <c r="FH5" i="8"/>
  <c r="FS5" i="8"/>
  <c r="FH6" i="8"/>
  <c r="FS6" i="8"/>
  <c r="FH7" i="8"/>
  <c r="FS7" i="8"/>
  <c r="FH8" i="8"/>
  <c r="FS8" i="8"/>
  <c r="FH9" i="8"/>
  <c r="FS9" i="8"/>
  <c r="FH10" i="8"/>
  <c r="FS10" i="8"/>
  <c r="FH11" i="8"/>
  <c r="FS11" i="8"/>
  <c r="FH12" i="8"/>
  <c r="FS12" i="8"/>
  <c r="FH13" i="8"/>
  <c r="FS13" i="8"/>
  <c r="FH14" i="8"/>
  <c r="FS14" i="8"/>
  <c r="FH15" i="8"/>
  <c r="FS15" i="8"/>
  <c r="E19" i="32"/>
  <c r="FB4" i="8"/>
  <c r="FM4" i="8"/>
  <c r="FB5" i="8"/>
  <c r="FM5" i="8"/>
  <c r="FB6" i="8"/>
  <c r="FM6" i="8"/>
  <c r="FB7" i="8"/>
  <c r="FM7" i="8"/>
  <c r="FB8" i="8"/>
  <c r="FM8" i="8"/>
  <c r="FB9" i="8"/>
  <c r="FM9" i="8"/>
  <c r="FB10" i="8"/>
  <c r="FM10" i="8"/>
  <c r="FB11" i="8"/>
  <c r="FM11" i="8"/>
  <c r="FB12" i="8"/>
  <c r="FM12" i="8"/>
  <c r="FB13" i="8"/>
  <c r="FM13" i="8"/>
  <c r="FB14" i="8"/>
  <c r="FM14" i="8"/>
  <c r="FB15" i="8"/>
  <c r="FM15" i="8"/>
  <c r="D19" i="32"/>
  <c r="E16" i="32"/>
  <c r="D16" i="32"/>
  <c r="CJ4" i="8"/>
  <c r="CJ5" i="8"/>
  <c r="CJ6" i="8"/>
  <c r="CJ7" i="8"/>
  <c r="CJ8" i="8"/>
  <c r="CJ9" i="8"/>
  <c r="CJ10" i="8"/>
  <c r="CJ11" i="8"/>
  <c r="CJ12" i="8"/>
  <c r="CJ13" i="8"/>
  <c r="CJ14" i="8"/>
  <c r="CJ15" i="8"/>
  <c r="E15" i="32"/>
  <c r="BS4" i="8"/>
  <c r="CD4" i="8"/>
  <c r="BS5" i="8"/>
  <c r="CD5" i="8"/>
  <c r="BS6" i="8"/>
  <c r="CD6" i="8"/>
  <c r="BS7" i="8"/>
  <c r="CD7" i="8"/>
  <c r="BS8" i="8"/>
  <c r="CD8" i="8"/>
  <c r="BS9" i="8"/>
  <c r="CD9" i="8"/>
  <c r="BS10" i="8"/>
  <c r="CD10" i="8"/>
  <c r="BS11" i="8"/>
  <c r="CD11" i="8"/>
  <c r="BS12" i="8"/>
  <c r="CD12" i="8"/>
  <c r="BS13" i="8"/>
  <c r="CD13" i="8"/>
  <c r="BS14" i="8"/>
  <c r="CD14" i="8"/>
  <c r="BS15" i="8"/>
  <c r="CD15" i="8"/>
  <c r="D15" i="32"/>
  <c r="E14" i="32"/>
  <c r="D14" i="32"/>
  <c r="GI4" i="8"/>
  <c r="GT4" i="8"/>
  <c r="GI5" i="8"/>
  <c r="GT5" i="8"/>
  <c r="GI6" i="8"/>
  <c r="GT6" i="8"/>
  <c r="GI7" i="8"/>
  <c r="GT7" i="8"/>
  <c r="GI8" i="8"/>
  <c r="GT8" i="8"/>
  <c r="GI9" i="8"/>
  <c r="GT9" i="8"/>
  <c r="GI10" i="8"/>
  <c r="GT10" i="8"/>
  <c r="GI11" i="8"/>
  <c r="GT11" i="8"/>
  <c r="GI12" i="8"/>
  <c r="GT12" i="8"/>
  <c r="GI13" i="8"/>
  <c r="GT13" i="8"/>
  <c r="GI14" i="8"/>
  <c r="GT14" i="8"/>
  <c r="GI15" i="8"/>
  <c r="GT15" i="8"/>
  <c r="E13" i="32"/>
  <c r="GC4" i="8"/>
  <c r="GN4" i="8"/>
  <c r="GC5" i="8"/>
  <c r="GN5" i="8"/>
  <c r="GC6" i="8"/>
  <c r="GN6" i="8"/>
  <c r="GC7" i="8"/>
  <c r="GN7" i="8"/>
  <c r="GC8" i="8"/>
  <c r="GN8" i="8"/>
  <c r="GC9" i="8"/>
  <c r="GN9" i="8"/>
  <c r="GC10" i="8"/>
  <c r="GN10" i="8"/>
  <c r="GC11" i="8"/>
  <c r="GN11" i="8"/>
  <c r="GC12" i="8"/>
  <c r="GN12" i="8"/>
  <c r="GC13" i="8"/>
  <c r="GN13" i="8"/>
  <c r="GC14" i="8"/>
  <c r="GN14" i="8"/>
  <c r="GC15" i="8"/>
  <c r="GN15" i="8"/>
  <c r="D13" i="32"/>
  <c r="FF4" i="8"/>
  <c r="FQ4" i="8"/>
  <c r="FF5" i="8"/>
  <c r="FQ5" i="8"/>
  <c r="FF6" i="8"/>
  <c r="FQ6" i="8"/>
  <c r="FF7" i="8"/>
  <c r="FQ7" i="8"/>
  <c r="FF8" i="8"/>
  <c r="FQ8" i="8"/>
  <c r="FF9" i="8"/>
  <c r="FQ9" i="8"/>
  <c r="FF10" i="8"/>
  <c r="FQ10" i="8"/>
  <c r="FF11" i="8"/>
  <c r="FQ11" i="8"/>
  <c r="FF12" i="8"/>
  <c r="FQ12" i="8"/>
  <c r="FF13" i="8"/>
  <c r="FQ13" i="8"/>
  <c r="FF14" i="8"/>
  <c r="FQ14" i="8"/>
  <c r="FF15" i="8"/>
  <c r="FQ15" i="8"/>
  <c r="E12" i="32"/>
  <c r="EZ4" i="8"/>
  <c r="FK4" i="8"/>
  <c r="EZ5" i="8"/>
  <c r="FK5" i="8"/>
  <c r="EZ6" i="8"/>
  <c r="FK6" i="8"/>
  <c r="EZ7" i="8"/>
  <c r="FK7" i="8"/>
  <c r="EZ8" i="8"/>
  <c r="FK8" i="8"/>
  <c r="EZ9" i="8"/>
  <c r="FK9" i="8"/>
  <c r="EZ10" i="8"/>
  <c r="FK10" i="8"/>
  <c r="EZ11" i="8"/>
  <c r="FK11" i="8"/>
  <c r="EZ12" i="8"/>
  <c r="FK12" i="8"/>
  <c r="EZ13" i="8"/>
  <c r="FK13" i="8"/>
  <c r="EZ14" i="8"/>
  <c r="FK14" i="8"/>
  <c r="EZ15" i="8"/>
  <c r="FK15" i="8"/>
  <c r="D12" i="32"/>
  <c r="EB4" i="31"/>
  <c r="EO4" i="31"/>
  <c r="EB5" i="31"/>
  <c r="EO5" i="31"/>
  <c r="EB6" i="31"/>
  <c r="EO6" i="31"/>
  <c r="EB7" i="31"/>
  <c r="EO7" i="31"/>
  <c r="EB8" i="31"/>
  <c r="EO8" i="31"/>
  <c r="EB9" i="31"/>
  <c r="EO9" i="31"/>
  <c r="EB10" i="31"/>
  <c r="EO10" i="31"/>
  <c r="EB11" i="31"/>
  <c r="EO11" i="31"/>
  <c r="EB12" i="31"/>
  <c r="EO12" i="31"/>
  <c r="EB13" i="31"/>
  <c r="EO13" i="31"/>
  <c r="EB14" i="31"/>
  <c r="EO14" i="31"/>
  <c r="EB15" i="31"/>
  <c r="EO15" i="31"/>
  <c r="E9" i="32"/>
  <c r="DU4" i="31"/>
  <c r="EH4" i="31"/>
  <c r="DU5" i="31"/>
  <c r="EH5" i="31"/>
  <c r="DU6" i="31"/>
  <c r="EH6" i="31"/>
  <c r="DU7" i="31"/>
  <c r="EH7" i="31"/>
  <c r="DU8" i="31"/>
  <c r="EH8" i="31"/>
  <c r="DU9" i="31"/>
  <c r="EH9" i="31"/>
  <c r="DU10" i="31"/>
  <c r="EH10" i="31"/>
  <c r="DU11" i="31"/>
  <c r="EH11" i="31"/>
  <c r="DU12" i="31"/>
  <c r="EH12" i="31"/>
  <c r="DU13" i="31"/>
  <c r="EH13" i="31"/>
  <c r="DU14" i="31"/>
  <c r="EH14" i="31"/>
  <c r="DU15" i="31"/>
  <c r="EH15" i="31"/>
  <c r="D9" i="32"/>
  <c r="BY4" i="31"/>
  <c r="CL4" i="31"/>
  <c r="BY5" i="31"/>
  <c r="CL5" i="31"/>
  <c r="BY6" i="31"/>
  <c r="CL6" i="31"/>
  <c r="BY7" i="31"/>
  <c r="CL7" i="31"/>
  <c r="BY8" i="31"/>
  <c r="CL8" i="31"/>
  <c r="BY9" i="31"/>
  <c r="CL9" i="31"/>
  <c r="BY10" i="31"/>
  <c r="CL10" i="31"/>
  <c r="BY11" i="31"/>
  <c r="CL11" i="31"/>
  <c r="BY12" i="31"/>
  <c r="CL12" i="31"/>
  <c r="BY13" i="31"/>
  <c r="CL13" i="31"/>
  <c r="BY14" i="31"/>
  <c r="CL14" i="31"/>
  <c r="BY15" i="31"/>
  <c r="CL15" i="31"/>
  <c r="E8" i="32"/>
  <c r="BR4" i="31"/>
  <c r="CE4" i="31"/>
  <c r="BR5" i="31"/>
  <c r="CE5" i="31"/>
  <c r="BR6" i="31"/>
  <c r="CE6" i="31"/>
  <c r="BR7" i="31"/>
  <c r="CE7" i="31"/>
  <c r="BR8" i="31"/>
  <c r="CE8" i="31"/>
  <c r="BR9" i="31"/>
  <c r="CE9" i="31"/>
  <c r="BR10" i="31"/>
  <c r="CE10" i="31"/>
  <c r="BR11" i="31"/>
  <c r="CE11" i="31"/>
  <c r="BR12" i="31"/>
  <c r="CE12" i="31"/>
  <c r="BR13" i="31"/>
  <c r="CE13" i="31"/>
  <c r="BR14" i="31"/>
  <c r="CE14" i="31"/>
  <c r="BR15" i="31"/>
  <c r="CE15" i="31"/>
  <c r="D8" i="32"/>
  <c r="DE4" i="31"/>
  <c r="DO4" i="31"/>
  <c r="DE5" i="31"/>
  <c r="DO5" i="31"/>
  <c r="DE6" i="31"/>
  <c r="DO6" i="31"/>
  <c r="DE7" i="31"/>
  <c r="DO7" i="31"/>
  <c r="DE8" i="31"/>
  <c r="DO8" i="31"/>
  <c r="DE9" i="31"/>
  <c r="DO9" i="31"/>
  <c r="DE10" i="31"/>
  <c r="DO10" i="31"/>
  <c r="DE11" i="31"/>
  <c r="DO11" i="31"/>
  <c r="DE12" i="31"/>
  <c r="DO12" i="31"/>
  <c r="DE13" i="31"/>
  <c r="DO13" i="31"/>
  <c r="DE14" i="31"/>
  <c r="DO14" i="31"/>
  <c r="DE15" i="31"/>
  <c r="DO15" i="31"/>
  <c r="E7" i="32"/>
  <c r="CZ4" i="31"/>
  <c r="DJ4" i="31"/>
  <c r="CZ5" i="31"/>
  <c r="DJ5" i="31"/>
  <c r="CZ6" i="31"/>
  <c r="DJ6" i="31"/>
  <c r="CZ7" i="31"/>
  <c r="DJ7" i="31"/>
  <c r="CZ8" i="31"/>
  <c r="DJ8" i="31"/>
  <c r="CZ9" i="31"/>
  <c r="DJ9" i="31"/>
  <c r="CZ10" i="31"/>
  <c r="DJ10" i="31"/>
  <c r="CZ11" i="31"/>
  <c r="DJ11" i="31"/>
  <c r="CZ12" i="31"/>
  <c r="DJ12" i="31"/>
  <c r="CZ13" i="31"/>
  <c r="DJ13" i="31"/>
  <c r="CZ14" i="31"/>
  <c r="DJ14" i="31"/>
  <c r="CZ15" i="31"/>
  <c r="DJ15" i="31"/>
  <c r="D7" i="32"/>
  <c r="FY4" i="31"/>
  <c r="GJ4" i="31"/>
  <c r="GE4" i="31"/>
  <c r="GP4" i="31"/>
  <c r="GV4" i="31"/>
  <c r="FY5" i="31"/>
  <c r="GJ5" i="31"/>
  <c r="GE5" i="31"/>
  <c r="GP5" i="31"/>
  <c r="GV5" i="31"/>
  <c r="FY6" i="31"/>
  <c r="GJ6" i="31"/>
  <c r="GE6" i="31"/>
  <c r="GP6" i="31"/>
  <c r="GV6" i="31"/>
  <c r="FY7" i="31"/>
  <c r="GJ7" i="31"/>
  <c r="GE7" i="31"/>
  <c r="GP7" i="31"/>
  <c r="GV7" i="31"/>
  <c r="FY8" i="31"/>
  <c r="GJ8" i="31"/>
  <c r="GE8" i="31"/>
  <c r="GP8" i="31"/>
  <c r="GV8" i="31"/>
  <c r="FY9" i="31"/>
  <c r="GJ9" i="31"/>
  <c r="GE9" i="31"/>
  <c r="GP9" i="31"/>
  <c r="GV9" i="31"/>
  <c r="FY10" i="31"/>
  <c r="GJ10" i="31"/>
  <c r="GE10" i="31"/>
  <c r="GP10" i="31"/>
  <c r="GV10" i="31"/>
  <c r="FY11" i="31"/>
  <c r="GJ11" i="31"/>
  <c r="GE11" i="31"/>
  <c r="GP11" i="31"/>
  <c r="GV11" i="31"/>
  <c r="FY12" i="31"/>
  <c r="GJ12" i="31"/>
  <c r="GE12" i="31"/>
  <c r="GP12" i="31"/>
  <c r="GV12" i="31"/>
  <c r="FY13" i="31"/>
  <c r="GJ13" i="31"/>
  <c r="GE13" i="31"/>
  <c r="GP13" i="31"/>
  <c r="GV13" i="31"/>
  <c r="FY14" i="31"/>
  <c r="GJ14" i="31"/>
  <c r="GE14" i="31"/>
  <c r="GP14" i="31"/>
  <c r="GV14" i="31"/>
  <c r="FY15" i="31"/>
  <c r="GJ15" i="31"/>
  <c r="GE15" i="31"/>
  <c r="GP15" i="31"/>
  <c r="GV15" i="31"/>
  <c r="F6" i="32"/>
  <c r="E6" i="32"/>
  <c r="D6" i="32"/>
  <c r="EV4" i="31"/>
  <c r="FG4" i="31"/>
  <c r="FB4" i="31"/>
  <c r="FM4" i="31"/>
  <c r="FS4" i="31"/>
  <c r="EV5" i="31"/>
  <c r="FG5" i="31"/>
  <c r="FB5" i="31"/>
  <c r="FM5" i="31"/>
  <c r="FS5" i="31"/>
  <c r="EV6" i="31"/>
  <c r="FG6" i="31"/>
  <c r="FB6" i="31"/>
  <c r="FM6" i="31"/>
  <c r="FS6" i="31"/>
  <c r="EV7" i="31"/>
  <c r="FG7" i="31"/>
  <c r="FB7" i="31"/>
  <c r="FM7" i="31"/>
  <c r="FS7" i="31"/>
  <c r="EV8" i="31"/>
  <c r="FG8" i="31"/>
  <c r="FB8" i="31"/>
  <c r="FM8" i="31"/>
  <c r="FS8" i="31"/>
  <c r="EV9" i="31"/>
  <c r="FG9" i="31"/>
  <c r="FB9" i="31"/>
  <c r="FM9" i="31"/>
  <c r="FS9" i="31"/>
  <c r="EV10" i="31"/>
  <c r="FG10" i="31"/>
  <c r="FB10" i="31"/>
  <c r="FM10" i="31"/>
  <c r="FS10" i="31"/>
  <c r="EV11" i="31"/>
  <c r="FG11" i="31"/>
  <c r="FB11" i="31"/>
  <c r="FM11" i="31"/>
  <c r="FS11" i="31"/>
  <c r="EV12" i="31"/>
  <c r="FG12" i="31"/>
  <c r="FB12" i="31"/>
  <c r="FM12" i="31"/>
  <c r="FS12" i="31"/>
  <c r="EV13" i="31"/>
  <c r="FG13" i="31"/>
  <c r="FB13" i="31"/>
  <c r="FM13" i="31"/>
  <c r="FS13" i="31"/>
  <c r="EV14" i="31"/>
  <c r="FG14" i="31"/>
  <c r="FB14" i="31"/>
  <c r="FM14" i="31"/>
  <c r="FS14" i="31"/>
  <c r="EV15" i="31"/>
  <c r="FG15" i="31"/>
  <c r="FB15" i="31"/>
  <c r="FM15" i="31"/>
  <c r="FS15" i="31"/>
  <c r="F5" i="32"/>
  <c r="E5" i="32"/>
  <c r="D5" i="32"/>
  <c r="DA4" i="31"/>
  <c r="DB4" i="31"/>
  <c r="DC4" i="31"/>
  <c r="DD4" i="31"/>
  <c r="DF4" i="31"/>
  <c r="DG4" i="31"/>
  <c r="DH4" i="31"/>
  <c r="DI4" i="31"/>
  <c r="DA5" i="31"/>
  <c r="DB5" i="31"/>
  <c r="DC5" i="31"/>
  <c r="DD5" i="31"/>
  <c r="DF5" i="31"/>
  <c r="DG5" i="31"/>
  <c r="DH5" i="31"/>
  <c r="DI5" i="31"/>
  <c r="DA6" i="31"/>
  <c r="DB6" i="31"/>
  <c r="DC6" i="31"/>
  <c r="DD6" i="31"/>
  <c r="DF6" i="31"/>
  <c r="DG6" i="31"/>
  <c r="DH6" i="31"/>
  <c r="DI6" i="31"/>
  <c r="DA7" i="31"/>
  <c r="DB7" i="31"/>
  <c r="DC7" i="31"/>
  <c r="DD7" i="31"/>
  <c r="DF7" i="31"/>
  <c r="DG7" i="31"/>
  <c r="DH7" i="31"/>
  <c r="DI7" i="31"/>
  <c r="DA8" i="31"/>
  <c r="DB8" i="31"/>
  <c r="DC8" i="31"/>
  <c r="DD8" i="31"/>
  <c r="DF8" i="31"/>
  <c r="DG8" i="31"/>
  <c r="DH8" i="31"/>
  <c r="DI8" i="31"/>
  <c r="DA9" i="31"/>
  <c r="DB9" i="31"/>
  <c r="DC9" i="31"/>
  <c r="DD9" i="31"/>
  <c r="DF9" i="31"/>
  <c r="DG9" i="31"/>
  <c r="DH9" i="31"/>
  <c r="DI9" i="31"/>
  <c r="DA10" i="31"/>
  <c r="DB10" i="31"/>
  <c r="DC10" i="31"/>
  <c r="DD10" i="31"/>
  <c r="DF10" i="31"/>
  <c r="DG10" i="31"/>
  <c r="DH10" i="31"/>
  <c r="DI10" i="31"/>
  <c r="DA11" i="31"/>
  <c r="DB11" i="31"/>
  <c r="DC11" i="31"/>
  <c r="DD11" i="31"/>
  <c r="DF11" i="31"/>
  <c r="DG11" i="31"/>
  <c r="DH11" i="31"/>
  <c r="DI11" i="31"/>
  <c r="DA12" i="31"/>
  <c r="DB12" i="31"/>
  <c r="DC12" i="31"/>
  <c r="DD12" i="31"/>
  <c r="DF12" i="31"/>
  <c r="DG12" i="31"/>
  <c r="DH12" i="31"/>
  <c r="DI12" i="31"/>
  <c r="DA13" i="31"/>
  <c r="DB13" i="31"/>
  <c r="DC13" i="31"/>
  <c r="DD13" i="31"/>
  <c r="DF13" i="31"/>
  <c r="DG13" i="31"/>
  <c r="DH13" i="31"/>
  <c r="DI13" i="31"/>
  <c r="DA14" i="31"/>
  <c r="DB14" i="31"/>
  <c r="DC14" i="31"/>
  <c r="DD14" i="31"/>
  <c r="DF14" i="31"/>
  <c r="DG14" i="31"/>
  <c r="DH14" i="31"/>
  <c r="DI14" i="31"/>
  <c r="DA15" i="31"/>
  <c r="DB15" i="31"/>
  <c r="DC15" i="31"/>
  <c r="DD15" i="31"/>
  <c r="DF15" i="31"/>
  <c r="DG15" i="31"/>
  <c r="DH15" i="31"/>
  <c r="DI15" i="31"/>
  <c r="W5" i="6"/>
  <c r="AA5" i="6"/>
  <c r="AH5" i="6"/>
  <c r="AL5" i="6"/>
  <c r="AS5" i="6"/>
  <c r="AW5" i="6"/>
  <c r="E5" i="6"/>
  <c r="G5" i="7"/>
  <c r="X5" i="7"/>
  <c r="W6" i="6"/>
  <c r="AA6" i="6"/>
  <c r="AH6" i="6"/>
  <c r="AL6" i="6"/>
  <c r="AS6" i="6"/>
  <c r="AW6" i="6"/>
  <c r="E6" i="6"/>
  <c r="G6" i="7"/>
  <c r="X6" i="7"/>
  <c r="W7" i="6"/>
  <c r="AA7" i="6"/>
  <c r="AH7" i="6"/>
  <c r="AL7" i="6"/>
  <c r="AS7" i="6"/>
  <c r="AW7" i="6"/>
  <c r="E7" i="6"/>
  <c r="G7" i="7"/>
  <c r="X7" i="7"/>
  <c r="W8" i="6"/>
  <c r="AA8" i="6"/>
  <c r="AH8" i="6"/>
  <c r="AL8" i="6"/>
  <c r="AS8" i="6"/>
  <c r="AW8" i="6"/>
  <c r="E8" i="6"/>
  <c r="G8" i="7"/>
  <c r="X8" i="7"/>
  <c r="W9" i="6"/>
  <c r="AA9" i="6"/>
  <c r="AH9" i="6"/>
  <c r="AL9" i="6"/>
  <c r="AS9" i="6"/>
  <c r="AW9" i="6"/>
  <c r="E9" i="6"/>
  <c r="G9" i="7"/>
  <c r="X9" i="7"/>
  <c r="W10" i="6"/>
  <c r="AA10" i="6"/>
  <c r="AH10" i="6"/>
  <c r="AL10" i="6"/>
  <c r="AS10" i="6"/>
  <c r="AW10" i="6"/>
  <c r="E10" i="6"/>
  <c r="G10" i="7"/>
  <c r="X10" i="7"/>
  <c r="W11" i="6"/>
  <c r="AA11" i="6"/>
  <c r="AH11" i="6"/>
  <c r="AL11" i="6"/>
  <c r="AS11" i="6"/>
  <c r="AW11" i="6"/>
  <c r="E11" i="6"/>
  <c r="G11" i="7"/>
  <c r="X11" i="7"/>
  <c r="W12" i="6"/>
  <c r="AA12" i="6"/>
  <c r="AH12" i="6"/>
  <c r="AL12" i="6"/>
  <c r="AS12" i="6"/>
  <c r="AW12" i="6"/>
  <c r="E12" i="6"/>
  <c r="G12" i="7"/>
  <c r="X12" i="7"/>
  <c r="W13" i="6"/>
  <c r="AA13" i="6"/>
  <c r="AH13" i="6"/>
  <c r="AL13" i="6"/>
  <c r="AS13" i="6"/>
  <c r="AW13" i="6"/>
  <c r="E13" i="6"/>
  <c r="G13" i="7"/>
  <c r="X13" i="7"/>
  <c r="W14" i="6"/>
  <c r="AA14" i="6"/>
  <c r="AH14" i="6"/>
  <c r="AL14" i="6"/>
  <c r="AS14" i="6"/>
  <c r="AW14" i="6"/>
  <c r="E14" i="6"/>
  <c r="G14" i="7"/>
  <c r="X14" i="7"/>
  <c r="W15" i="6"/>
  <c r="AA15" i="6"/>
  <c r="AH15" i="6"/>
  <c r="AL15" i="6"/>
  <c r="AS15" i="6"/>
  <c r="AW15" i="6"/>
  <c r="E15" i="6"/>
  <c r="G15" i="7"/>
  <c r="X15" i="7"/>
  <c r="W16" i="6"/>
  <c r="AA16" i="6"/>
  <c r="AH16" i="6"/>
  <c r="AL16" i="6"/>
  <c r="AS16" i="6"/>
  <c r="AW16" i="6"/>
  <c r="E16" i="6"/>
  <c r="G16" i="7"/>
  <c r="X16" i="7"/>
  <c r="W17" i="6"/>
  <c r="AA17" i="6"/>
  <c r="AH17" i="6"/>
  <c r="AL17" i="6"/>
  <c r="AS17" i="6"/>
  <c r="AW17" i="6"/>
  <c r="E17" i="6"/>
  <c r="G17" i="7"/>
  <c r="X17" i="7"/>
  <c r="W18" i="6"/>
  <c r="AA18" i="6"/>
  <c r="AH18" i="6"/>
  <c r="AL18" i="6"/>
  <c r="AS18" i="6"/>
  <c r="AW18" i="6"/>
  <c r="E18" i="6"/>
  <c r="G18" i="7"/>
  <c r="X18" i="7"/>
  <c r="W19" i="6"/>
  <c r="AA19" i="6"/>
  <c r="AH19" i="6"/>
  <c r="AL19" i="6"/>
  <c r="AS19" i="6"/>
  <c r="AW19" i="6"/>
  <c r="E19" i="6"/>
  <c r="G19" i="7"/>
  <c r="X19" i="7"/>
  <c r="W20" i="6"/>
  <c r="AA20" i="6"/>
  <c r="AH20" i="6"/>
  <c r="AL20" i="6"/>
  <c r="AS20" i="6"/>
  <c r="AW20" i="6"/>
  <c r="E20" i="6"/>
  <c r="G20" i="7"/>
  <c r="X20" i="7"/>
  <c r="W4" i="6"/>
  <c r="AA4" i="6"/>
  <c r="AH4" i="6"/>
  <c r="AL4" i="6"/>
  <c r="AS4" i="6"/>
  <c r="AW4" i="6"/>
  <c r="E4" i="6"/>
  <c r="G4" i="7"/>
  <c r="X4" i="7"/>
  <c r="V5" i="6"/>
  <c r="Z5" i="6"/>
  <c r="AG5" i="6"/>
  <c r="AK5" i="6"/>
  <c r="AR5" i="6"/>
  <c r="AV5" i="6"/>
  <c r="D5" i="6"/>
  <c r="B5" i="7"/>
  <c r="V6" i="6"/>
  <c r="Z6" i="6"/>
  <c r="AG6" i="6"/>
  <c r="AK6" i="6"/>
  <c r="AR6" i="6"/>
  <c r="AV6" i="6"/>
  <c r="D6" i="6"/>
  <c r="B6" i="7"/>
  <c r="V7" i="6"/>
  <c r="Z7" i="6"/>
  <c r="AG7" i="6"/>
  <c r="AK7" i="6"/>
  <c r="AR7" i="6"/>
  <c r="AV7" i="6"/>
  <c r="D7" i="6"/>
  <c r="B7" i="7"/>
  <c r="V8" i="6"/>
  <c r="Z8" i="6"/>
  <c r="AG8" i="6"/>
  <c r="AK8" i="6"/>
  <c r="AR8" i="6"/>
  <c r="AV8" i="6"/>
  <c r="D8" i="6"/>
  <c r="B8" i="7"/>
  <c r="V9" i="6"/>
  <c r="Z9" i="6"/>
  <c r="AG9" i="6"/>
  <c r="AK9" i="6"/>
  <c r="AR9" i="6"/>
  <c r="AV9" i="6"/>
  <c r="D9" i="6"/>
  <c r="B9" i="7"/>
  <c r="V10" i="6"/>
  <c r="Z10" i="6"/>
  <c r="AG10" i="6"/>
  <c r="AK10" i="6"/>
  <c r="AR10" i="6"/>
  <c r="AV10" i="6"/>
  <c r="D10" i="6"/>
  <c r="B10" i="7"/>
  <c r="V11" i="6"/>
  <c r="Z11" i="6"/>
  <c r="AG11" i="6"/>
  <c r="AK11" i="6"/>
  <c r="AR11" i="6"/>
  <c r="AV11" i="6"/>
  <c r="D11" i="6"/>
  <c r="B11" i="7"/>
  <c r="V12" i="6"/>
  <c r="Z12" i="6"/>
  <c r="AG12" i="6"/>
  <c r="AK12" i="6"/>
  <c r="AR12" i="6"/>
  <c r="AV12" i="6"/>
  <c r="D12" i="6"/>
  <c r="B12" i="7"/>
  <c r="V13" i="6"/>
  <c r="Z13" i="6"/>
  <c r="AG13" i="6"/>
  <c r="AK13" i="6"/>
  <c r="AR13" i="6"/>
  <c r="AV13" i="6"/>
  <c r="D13" i="6"/>
  <c r="B13" i="7"/>
  <c r="V14" i="6"/>
  <c r="Z14" i="6"/>
  <c r="AG14" i="6"/>
  <c r="AK14" i="6"/>
  <c r="AR14" i="6"/>
  <c r="AV14" i="6"/>
  <c r="D14" i="6"/>
  <c r="B14" i="7"/>
  <c r="V15" i="6"/>
  <c r="Z15" i="6"/>
  <c r="AG15" i="6"/>
  <c r="AK15" i="6"/>
  <c r="AR15" i="6"/>
  <c r="AV15" i="6"/>
  <c r="D15" i="6"/>
  <c r="B15" i="7"/>
  <c r="V16" i="6"/>
  <c r="Z16" i="6"/>
  <c r="AG16" i="6"/>
  <c r="AK16" i="6"/>
  <c r="AR16" i="6"/>
  <c r="AV16" i="6"/>
  <c r="D16" i="6"/>
  <c r="B16" i="7"/>
  <c r="V17" i="6"/>
  <c r="Z17" i="6"/>
  <c r="AG17" i="6"/>
  <c r="AK17" i="6"/>
  <c r="AR17" i="6"/>
  <c r="AV17" i="6"/>
  <c r="D17" i="6"/>
  <c r="B17" i="7"/>
  <c r="V18" i="6"/>
  <c r="Z18" i="6"/>
  <c r="AG18" i="6"/>
  <c r="AK18" i="6"/>
  <c r="AR18" i="6"/>
  <c r="AV18" i="6"/>
  <c r="D18" i="6"/>
  <c r="B18" i="7"/>
  <c r="V19" i="6"/>
  <c r="Z19" i="6"/>
  <c r="AG19" i="6"/>
  <c r="AK19" i="6"/>
  <c r="AR19" i="6"/>
  <c r="AV19" i="6"/>
  <c r="D19" i="6"/>
  <c r="B19" i="7"/>
  <c r="V20" i="6"/>
  <c r="Z20" i="6"/>
  <c r="AG20" i="6"/>
  <c r="AK20" i="6"/>
  <c r="AR20" i="6"/>
  <c r="AV20" i="6"/>
  <c r="D20" i="6"/>
  <c r="B20" i="7"/>
  <c r="V4" i="6"/>
  <c r="Z4" i="6"/>
  <c r="AG4" i="6"/>
  <c r="AK4" i="6"/>
  <c r="AR4" i="6"/>
  <c r="AV4" i="6"/>
  <c r="D4" i="6"/>
  <c r="B4" i="7"/>
  <c r="B5" i="6"/>
  <c r="B6" i="6"/>
  <c r="B7" i="6"/>
  <c r="B8" i="6"/>
  <c r="B9" i="6"/>
  <c r="B10" i="6"/>
  <c r="B11" i="6"/>
  <c r="B12" i="6"/>
  <c r="B13" i="6"/>
  <c r="B14" i="6"/>
  <c r="B15" i="6"/>
  <c r="B16" i="6"/>
  <c r="B17" i="6"/>
  <c r="B18" i="6"/>
  <c r="B19" i="6"/>
  <c r="B20" i="6"/>
  <c r="G5" i="3"/>
  <c r="T5" i="3"/>
  <c r="AA31" i="29"/>
  <c r="G6" i="3"/>
  <c r="T6" i="3"/>
  <c r="AA32" i="29"/>
  <c r="G7" i="3"/>
  <c r="T7" i="3"/>
  <c r="AA33" i="29"/>
  <c r="G8" i="3"/>
  <c r="T8" i="3"/>
  <c r="AA34" i="29"/>
  <c r="G9" i="3"/>
  <c r="T9" i="3"/>
  <c r="AA35" i="29"/>
  <c r="G10" i="3"/>
  <c r="T10" i="3"/>
  <c r="AA36" i="29"/>
  <c r="G11" i="3"/>
  <c r="T11" i="3"/>
  <c r="AA37" i="29"/>
  <c r="G12" i="3"/>
  <c r="T12" i="3"/>
  <c r="AA38" i="29"/>
  <c r="G13" i="3"/>
  <c r="T13" i="3"/>
  <c r="AA39" i="29"/>
  <c r="G14" i="3"/>
  <c r="T14" i="3"/>
  <c r="AA40" i="29"/>
  <c r="G15" i="3"/>
  <c r="T15" i="3"/>
  <c r="AA41" i="29"/>
  <c r="G16" i="3"/>
  <c r="T16" i="3"/>
  <c r="AA42" i="29"/>
  <c r="G17" i="3"/>
  <c r="T17" i="3"/>
  <c r="AA43" i="29"/>
  <c r="G18" i="3"/>
  <c r="T18" i="3"/>
  <c r="AA44" i="29"/>
  <c r="G19" i="3"/>
  <c r="T19" i="3"/>
  <c r="AA45" i="29"/>
  <c r="G20" i="3"/>
  <c r="T20" i="3"/>
  <c r="AA46" i="29"/>
  <c r="G4" i="3"/>
  <c r="T4" i="3"/>
  <c r="AA30" i="29"/>
  <c r="B5" i="3"/>
  <c r="O5" i="3"/>
  <c r="Z31" i="29"/>
  <c r="B6" i="3"/>
  <c r="O6" i="3"/>
  <c r="Z32" i="29"/>
  <c r="B7" i="3"/>
  <c r="O7" i="3"/>
  <c r="Z33" i="29"/>
  <c r="B8" i="3"/>
  <c r="O8" i="3"/>
  <c r="Z34" i="29"/>
  <c r="B9" i="3"/>
  <c r="O9" i="3"/>
  <c r="Z35" i="29"/>
  <c r="B10" i="3"/>
  <c r="O10" i="3"/>
  <c r="Z36" i="29"/>
  <c r="B11" i="3"/>
  <c r="O11" i="3"/>
  <c r="Z37" i="29"/>
  <c r="B12" i="3"/>
  <c r="O12" i="3"/>
  <c r="Z38" i="29"/>
  <c r="B13" i="3"/>
  <c r="O13" i="3"/>
  <c r="Z39" i="29"/>
  <c r="B14" i="3"/>
  <c r="O14" i="3"/>
  <c r="Z40" i="29"/>
  <c r="B15" i="3"/>
  <c r="O15" i="3"/>
  <c r="Z41" i="29"/>
  <c r="B16" i="3"/>
  <c r="O16" i="3"/>
  <c r="Z42" i="29"/>
  <c r="B17" i="3"/>
  <c r="O17" i="3"/>
  <c r="Z43" i="29"/>
  <c r="B18" i="3"/>
  <c r="O18" i="3"/>
  <c r="Z44" i="29"/>
  <c r="B19" i="3"/>
  <c r="O19" i="3"/>
  <c r="Z45" i="29"/>
  <c r="B20" i="3"/>
  <c r="O20" i="3"/>
  <c r="Z46" i="29"/>
  <c r="B4" i="3"/>
  <c r="O4" i="3"/>
  <c r="Z30" i="29"/>
  <c r="AB30" i="29"/>
  <c r="AB31" i="29"/>
  <c r="AB32" i="29"/>
  <c r="AB33" i="29"/>
  <c r="AB34" i="29"/>
  <c r="AB35" i="29"/>
  <c r="AB36" i="29"/>
  <c r="AB37" i="29"/>
  <c r="AB38" i="29"/>
  <c r="AB39" i="29"/>
  <c r="AB40" i="29"/>
  <c r="AB41" i="29"/>
  <c r="AB42" i="29"/>
  <c r="AB43" i="29"/>
  <c r="AB44" i="29"/>
  <c r="AB45" i="29"/>
  <c r="AB46" i="29"/>
  <c r="C5" i="29"/>
  <c r="C6" i="29"/>
  <c r="C7" i="29"/>
  <c r="C8" i="29"/>
  <c r="C9" i="29"/>
  <c r="C30" i="29"/>
  <c r="C31" i="29"/>
  <c r="C32" i="29"/>
  <c r="C33" i="29"/>
  <c r="C34" i="29"/>
  <c r="C35" i="29"/>
  <c r="C36" i="29"/>
  <c r="C37" i="29"/>
  <c r="C38" i="29"/>
  <c r="C39" i="29"/>
  <c r="C40" i="29"/>
  <c r="C41" i="29"/>
  <c r="C42" i="29"/>
  <c r="C43" i="29"/>
  <c r="C44" i="29"/>
  <c r="C45" i="29"/>
  <c r="C4" i="29"/>
  <c r="B5" i="29"/>
  <c r="B6" i="29"/>
  <c r="B7" i="29"/>
  <c r="B8" i="29"/>
  <c r="B9" i="29"/>
  <c r="B30" i="29"/>
  <c r="B31" i="29"/>
  <c r="B32" i="29"/>
  <c r="B33" i="29"/>
  <c r="B34" i="29"/>
  <c r="B35" i="29"/>
  <c r="B36" i="29"/>
  <c r="B37" i="29"/>
  <c r="B38" i="29"/>
  <c r="B39" i="29"/>
  <c r="B40" i="29"/>
  <c r="B41" i="29"/>
  <c r="B42" i="29"/>
  <c r="B43" i="29"/>
  <c r="B44" i="29"/>
  <c r="B45" i="29"/>
  <c r="B4" i="29"/>
  <c r="E30" i="33"/>
  <c r="D30" i="33"/>
  <c r="E28" i="33"/>
  <c r="D28" i="33"/>
  <c r="E26" i="33"/>
  <c r="D26" i="33"/>
  <c r="E20" i="33"/>
  <c r="D20" i="33"/>
  <c r="D16" i="33"/>
  <c r="D15" i="33"/>
  <c r="E9" i="33"/>
  <c r="D9" i="33"/>
  <c r="D7" i="33"/>
  <c r="D6" i="33"/>
  <c r="D5" i="33"/>
  <c r="F37" i="32"/>
  <c r="F36" i="32"/>
  <c r="F35" i="32"/>
  <c r="F34" i="32"/>
  <c r="F33" i="32"/>
  <c r="F30" i="32"/>
  <c r="F29" i="32"/>
  <c r="F28" i="32"/>
  <c r="F27" i="32"/>
  <c r="F26" i="32"/>
  <c r="F23" i="32"/>
  <c r="F22" i="32"/>
  <c r="F21" i="32"/>
  <c r="F20" i="32"/>
  <c r="F19" i="32"/>
  <c r="F16" i="32"/>
  <c r="F15" i="32"/>
  <c r="F14" i="32"/>
  <c r="F13" i="32"/>
  <c r="F12" i="32"/>
  <c r="F9" i="32"/>
  <c r="F8" i="32"/>
  <c r="F7" i="32"/>
  <c r="HC4" i="31"/>
  <c r="HF4" i="31"/>
  <c r="HD4" i="31"/>
  <c r="HG4" i="31"/>
  <c r="HH4" i="31"/>
  <c r="HC5" i="31"/>
  <c r="HF5" i="31"/>
  <c r="HD5" i="31"/>
  <c r="HG5" i="31"/>
  <c r="HH5" i="31"/>
  <c r="HC6" i="31"/>
  <c r="HF6" i="31"/>
  <c r="HD6" i="31"/>
  <c r="HG6" i="31"/>
  <c r="HH6" i="31"/>
  <c r="HC7" i="31"/>
  <c r="HF7" i="31"/>
  <c r="HD7" i="31"/>
  <c r="HG7" i="31"/>
  <c r="HH7" i="31"/>
  <c r="HC8" i="31"/>
  <c r="HF8" i="31"/>
  <c r="HD8" i="31"/>
  <c r="HG8" i="31"/>
  <c r="HH8" i="31"/>
  <c r="HC9" i="31"/>
  <c r="HF9" i="31"/>
  <c r="HD9" i="31"/>
  <c r="HG9" i="31"/>
  <c r="HH9" i="31"/>
  <c r="HC10" i="31"/>
  <c r="HF10" i="31"/>
  <c r="HD10" i="31"/>
  <c r="HG10" i="31"/>
  <c r="HH10" i="31"/>
  <c r="HC11" i="31"/>
  <c r="HF11" i="31"/>
  <c r="HD11" i="31"/>
  <c r="HG11" i="31"/>
  <c r="HH11" i="31"/>
  <c r="HC12" i="31"/>
  <c r="HF12" i="31"/>
  <c r="HD12" i="31"/>
  <c r="HG12" i="31"/>
  <c r="HH12" i="31"/>
  <c r="HC13" i="31"/>
  <c r="HF13" i="31"/>
  <c r="HD13" i="31"/>
  <c r="HG13" i="31"/>
  <c r="HH13" i="31"/>
  <c r="HC14" i="31"/>
  <c r="HF14" i="31"/>
  <c r="HD14" i="31"/>
  <c r="HG14" i="31"/>
  <c r="HH14" i="31"/>
  <c r="HC15" i="31"/>
  <c r="HF15" i="31"/>
  <c r="HD15" i="31"/>
  <c r="HG15" i="31"/>
  <c r="HH15" i="31"/>
  <c r="DZ4" i="31"/>
  <c r="GC4" i="31"/>
  <c r="GN4" i="31"/>
  <c r="EG4" i="31"/>
  <c r="GI4" i="31"/>
  <c r="GT4" i="31"/>
  <c r="GZ4" i="31"/>
  <c r="DZ5" i="31"/>
  <c r="GC5" i="31"/>
  <c r="GN5" i="31"/>
  <c r="EG5" i="31"/>
  <c r="GI5" i="31"/>
  <c r="GT5" i="31"/>
  <c r="GZ5" i="31"/>
  <c r="DZ6" i="31"/>
  <c r="GC6" i="31"/>
  <c r="GN6" i="31"/>
  <c r="EG6" i="31"/>
  <c r="GI6" i="31"/>
  <c r="GT6" i="31"/>
  <c r="GZ6" i="31"/>
  <c r="DZ7" i="31"/>
  <c r="GC7" i="31"/>
  <c r="GN7" i="31"/>
  <c r="EG7" i="31"/>
  <c r="GI7" i="31"/>
  <c r="GT7" i="31"/>
  <c r="GZ7" i="31"/>
  <c r="DZ8" i="31"/>
  <c r="GC8" i="31"/>
  <c r="GN8" i="31"/>
  <c r="EG8" i="31"/>
  <c r="GI8" i="31"/>
  <c r="GT8" i="31"/>
  <c r="GZ8" i="31"/>
  <c r="DZ9" i="31"/>
  <c r="GC9" i="31"/>
  <c r="GN9" i="31"/>
  <c r="EG9" i="31"/>
  <c r="GI9" i="31"/>
  <c r="GT9" i="31"/>
  <c r="GZ9" i="31"/>
  <c r="DZ10" i="31"/>
  <c r="GC10" i="31"/>
  <c r="GN10" i="31"/>
  <c r="EG10" i="31"/>
  <c r="GI10" i="31"/>
  <c r="GT10" i="31"/>
  <c r="GZ10" i="31"/>
  <c r="DZ11" i="31"/>
  <c r="GC11" i="31"/>
  <c r="GN11" i="31"/>
  <c r="EG11" i="31"/>
  <c r="GI11" i="31"/>
  <c r="GT11" i="31"/>
  <c r="GZ11" i="31"/>
  <c r="DZ12" i="31"/>
  <c r="GC12" i="31"/>
  <c r="GN12" i="31"/>
  <c r="EG12" i="31"/>
  <c r="GI12" i="31"/>
  <c r="GT12" i="31"/>
  <c r="GZ12" i="31"/>
  <c r="DZ13" i="31"/>
  <c r="GC13" i="31"/>
  <c r="GN13" i="31"/>
  <c r="EG13" i="31"/>
  <c r="GI13" i="31"/>
  <c r="GT13" i="31"/>
  <c r="GZ13" i="31"/>
  <c r="DZ14" i="31"/>
  <c r="GC14" i="31"/>
  <c r="GN14" i="31"/>
  <c r="EG14" i="31"/>
  <c r="GI14" i="31"/>
  <c r="GT14" i="31"/>
  <c r="GZ14" i="31"/>
  <c r="DZ15" i="31"/>
  <c r="GC15" i="31"/>
  <c r="GN15" i="31"/>
  <c r="EG15" i="31"/>
  <c r="GI15" i="31"/>
  <c r="GT15" i="31"/>
  <c r="GZ15" i="31"/>
  <c r="DX4" i="31"/>
  <c r="GB4" i="31"/>
  <c r="GM4" i="31"/>
  <c r="EE4" i="31"/>
  <c r="GH4" i="31"/>
  <c r="GS4" i="31"/>
  <c r="GY4" i="31"/>
  <c r="DX5" i="31"/>
  <c r="GB5" i="31"/>
  <c r="GM5" i="31"/>
  <c r="EE5" i="31"/>
  <c r="GH5" i="31"/>
  <c r="GS5" i="31"/>
  <c r="GY5" i="31"/>
  <c r="DX6" i="31"/>
  <c r="GB6" i="31"/>
  <c r="GM6" i="31"/>
  <c r="EE6" i="31"/>
  <c r="GH6" i="31"/>
  <c r="GS6" i="31"/>
  <c r="GY6" i="31"/>
  <c r="DX7" i="31"/>
  <c r="GB7" i="31"/>
  <c r="GM7" i="31"/>
  <c r="EE7" i="31"/>
  <c r="GH7" i="31"/>
  <c r="GS7" i="31"/>
  <c r="GY7" i="31"/>
  <c r="DX8" i="31"/>
  <c r="GB8" i="31"/>
  <c r="GM8" i="31"/>
  <c r="EE8" i="31"/>
  <c r="GH8" i="31"/>
  <c r="GS8" i="31"/>
  <c r="GY8" i="31"/>
  <c r="DX9" i="31"/>
  <c r="GB9" i="31"/>
  <c r="GM9" i="31"/>
  <c r="EE9" i="31"/>
  <c r="GH9" i="31"/>
  <c r="GS9" i="31"/>
  <c r="GY9" i="31"/>
  <c r="DX10" i="31"/>
  <c r="GB10" i="31"/>
  <c r="GM10" i="31"/>
  <c r="EE10" i="31"/>
  <c r="GH10" i="31"/>
  <c r="GS10" i="31"/>
  <c r="GY10" i="31"/>
  <c r="DX11" i="31"/>
  <c r="GB11" i="31"/>
  <c r="GM11" i="31"/>
  <c r="EE11" i="31"/>
  <c r="GH11" i="31"/>
  <c r="GS11" i="31"/>
  <c r="GY11" i="31"/>
  <c r="DX12" i="31"/>
  <c r="GB12" i="31"/>
  <c r="GM12" i="31"/>
  <c r="EE12" i="31"/>
  <c r="GH12" i="31"/>
  <c r="GS12" i="31"/>
  <c r="GY12" i="31"/>
  <c r="DX13" i="31"/>
  <c r="GB13" i="31"/>
  <c r="GM13" i="31"/>
  <c r="EE13" i="31"/>
  <c r="GH13" i="31"/>
  <c r="GS13" i="31"/>
  <c r="GY13" i="31"/>
  <c r="DX14" i="31"/>
  <c r="GB14" i="31"/>
  <c r="GM14" i="31"/>
  <c r="EE14" i="31"/>
  <c r="GH14" i="31"/>
  <c r="GS14" i="31"/>
  <c r="GY14" i="31"/>
  <c r="DX15" i="31"/>
  <c r="GB15" i="31"/>
  <c r="GM15" i="31"/>
  <c r="EE15" i="31"/>
  <c r="GH15" i="31"/>
  <c r="GS15" i="31"/>
  <c r="GY15" i="31"/>
  <c r="DW4" i="31"/>
  <c r="GA4" i="31"/>
  <c r="GL4" i="31"/>
  <c r="ED4" i="31"/>
  <c r="GG4" i="31"/>
  <c r="GR4" i="31"/>
  <c r="GX4" i="31"/>
  <c r="DW5" i="31"/>
  <c r="GA5" i="31"/>
  <c r="GL5" i="31"/>
  <c r="ED5" i="31"/>
  <c r="GG5" i="31"/>
  <c r="GR5" i="31"/>
  <c r="GX5" i="31"/>
  <c r="DW6" i="31"/>
  <c r="GA6" i="31"/>
  <c r="GL6" i="31"/>
  <c r="ED6" i="31"/>
  <c r="GG6" i="31"/>
  <c r="GR6" i="31"/>
  <c r="GX6" i="31"/>
  <c r="DW7" i="31"/>
  <c r="GA7" i="31"/>
  <c r="GL7" i="31"/>
  <c r="ED7" i="31"/>
  <c r="GG7" i="31"/>
  <c r="GR7" i="31"/>
  <c r="GX7" i="31"/>
  <c r="DW8" i="31"/>
  <c r="GA8" i="31"/>
  <c r="GL8" i="31"/>
  <c r="ED8" i="31"/>
  <c r="GG8" i="31"/>
  <c r="GR8" i="31"/>
  <c r="GX8" i="31"/>
  <c r="DW9" i="31"/>
  <c r="GA9" i="31"/>
  <c r="GL9" i="31"/>
  <c r="ED9" i="31"/>
  <c r="GG9" i="31"/>
  <c r="GR9" i="31"/>
  <c r="GX9" i="31"/>
  <c r="DW10" i="31"/>
  <c r="GA10" i="31"/>
  <c r="GL10" i="31"/>
  <c r="ED10" i="31"/>
  <c r="GG10" i="31"/>
  <c r="GR10" i="31"/>
  <c r="GX10" i="31"/>
  <c r="DW11" i="31"/>
  <c r="GA11" i="31"/>
  <c r="GL11" i="31"/>
  <c r="ED11" i="31"/>
  <c r="GG11" i="31"/>
  <c r="GR11" i="31"/>
  <c r="GX11" i="31"/>
  <c r="DW12" i="31"/>
  <c r="GA12" i="31"/>
  <c r="GL12" i="31"/>
  <c r="ED12" i="31"/>
  <c r="GG12" i="31"/>
  <c r="GR12" i="31"/>
  <c r="GX12" i="31"/>
  <c r="DW13" i="31"/>
  <c r="GA13" i="31"/>
  <c r="GL13" i="31"/>
  <c r="ED13" i="31"/>
  <c r="GG13" i="31"/>
  <c r="GR13" i="31"/>
  <c r="GX13" i="31"/>
  <c r="DW14" i="31"/>
  <c r="GA14" i="31"/>
  <c r="GL14" i="31"/>
  <c r="ED14" i="31"/>
  <c r="GG14" i="31"/>
  <c r="GR14" i="31"/>
  <c r="GX14" i="31"/>
  <c r="DW15" i="31"/>
  <c r="GA15" i="31"/>
  <c r="GL15" i="31"/>
  <c r="ED15" i="31"/>
  <c r="GG15" i="31"/>
  <c r="GR15" i="31"/>
  <c r="GX15" i="31"/>
  <c r="DV4" i="31"/>
  <c r="FZ4" i="31"/>
  <c r="GK4" i="31"/>
  <c r="EC4" i="31"/>
  <c r="GF4" i="31"/>
  <c r="GQ4" i="31"/>
  <c r="GW4" i="31"/>
  <c r="DV5" i="31"/>
  <c r="FZ5" i="31"/>
  <c r="GK5" i="31"/>
  <c r="EC5" i="31"/>
  <c r="GF5" i="31"/>
  <c r="GQ5" i="31"/>
  <c r="GW5" i="31"/>
  <c r="DV6" i="31"/>
  <c r="FZ6" i="31"/>
  <c r="GK6" i="31"/>
  <c r="EC6" i="31"/>
  <c r="GF6" i="31"/>
  <c r="GQ6" i="31"/>
  <c r="GW6" i="31"/>
  <c r="DV7" i="31"/>
  <c r="FZ7" i="31"/>
  <c r="GK7" i="31"/>
  <c r="EC7" i="31"/>
  <c r="GF7" i="31"/>
  <c r="GQ7" i="31"/>
  <c r="GW7" i="31"/>
  <c r="DV8" i="31"/>
  <c r="FZ8" i="31"/>
  <c r="GK8" i="31"/>
  <c r="EC8" i="31"/>
  <c r="GF8" i="31"/>
  <c r="GQ8" i="31"/>
  <c r="GW8" i="31"/>
  <c r="DV9" i="31"/>
  <c r="FZ9" i="31"/>
  <c r="GK9" i="31"/>
  <c r="EC9" i="31"/>
  <c r="GF9" i="31"/>
  <c r="GQ9" i="31"/>
  <c r="GW9" i="31"/>
  <c r="DV10" i="31"/>
  <c r="FZ10" i="31"/>
  <c r="GK10" i="31"/>
  <c r="EC10" i="31"/>
  <c r="GF10" i="31"/>
  <c r="GQ10" i="31"/>
  <c r="GW10" i="31"/>
  <c r="DV11" i="31"/>
  <c r="FZ11" i="31"/>
  <c r="GK11" i="31"/>
  <c r="EC11" i="31"/>
  <c r="GF11" i="31"/>
  <c r="GQ11" i="31"/>
  <c r="GW11" i="31"/>
  <c r="DV12" i="31"/>
  <c r="FZ12" i="31"/>
  <c r="GK12" i="31"/>
  <c r="EC12" i="31"/>
  <c r="GF12" i="31"/>
  <c r="GQ12" i="31"/>
  <c r="GW12" i="31"/>
  <c r="DV13" i="31"/>
  <c r="FZ13" i="31"/>
  <c r="GK13" i="31"/>
  <c r="EC13" i="31"/>
  <c r="GF13" i="31"/>
  <c r="GQ13" i="31"/>
  <c r="GW13" i="31"/>
  <c r="DV14" i="31"/>
  <c r="FZ14" i="31"/>
  <c r="GK14" i="31"/>
  <c r="EC14" i="31"/>
  <c r="GF14" i="31"/>
  <c r="GQ14" i="31"/>
  <c r="GW14" i="31"/>
  <c r="DV15" i="31"/>
  <c r="FZ15" i="31"/>
  <c r="GK15" i="31"/>
  <c r="EC15" i="31"/>
  <c r="GF15" i="31"/>
  <c r="GQ15" i="31"/>
  <c r="GW15" i="31"/>
  <c r="EA4" i="31"/>
  <c r="GD4" i="31"/>
  <c r="GO4" i="31"/>
  <c r="EA5" i="31"/>
  <c r="GD5" i="31"/>
  <c r="GO5" i="31"/>
  <c r="EA6" i="31"/>
  <c r="GD6" i="31"/>
  <c r="GO6" i="31"/>
  <c r="EA7" i="31"/>
  <c r="GD7" i="31"/>
  <c r="GO7" i="31"/>
  <c r="EA8" i="31"/>
  <c r="GD8" i="31"/>
  <c r="GO8" i="31"/>
  <c r="EA9" i="31"/>
  <c r="GD9" i="31"/>
  <c r="GO9" i="31"/>
  <c r="EA10" i="31"/>
  <c r="GD10" i="31"/>
  <c r="GO10" i="31"/>
  <c r="EA11" i="31"/>
  <c r="GD11" i="31"/>
  <c r="GO11" i="31"/>
  <c r="EA12" i="31"/>
  <c r="GD12" i="31"/>
  <c r="GO12" i="31"/>
  <c r="EA13" i="31"/>
  <c r="GD13" i="31"/>
  <c r="GO13" i="31"/>
  <c r="EA14" i="31"/>
  <c r="GD14" i="31"/>
  <c r="GO14" i="31"/>
  <c r="EA15" i="31"/>
  <c r="GD15" i="31"/>
  <c r="GO15" i="31"/>
  <c r="BW4" i="31"/>
  <c r="EZ4" i="31"/>
  <c r="FK4" i="31"/>
  <c r="CD4" i="31"/>
  <c r="FF4" i="31"/>
  <c r="FQ4" i="31"/>
  <c r="FW4" i="31"/>
  <c r="BW5" i="31"/>
  <c r="EZ5" i="31"/>
  <c r="FK5" i="31"/>
  <c r="CD5" i="31"/>
  <c r="FF5" i="31"/>
  <c r="FQ5" i="31"/>
  <c r="FW5" i="31"/>
  <c r="BW6" i="31"/>
  <c r="EZ6" i="31"/>
  <c r="FK6" i="31"/>
  <c r="CD6" i="31"/>
  <c r="FF6" i="31"/>
  <c r="FQ6" i="31"/>
  <c r="FW6" i="31"/>
  <c r="BW7" i="31"/>
  <c r="EZ7" i="31"/>
  <c r="FK7" i="31"/>
  <c r="CD7" i="31"/>
  <c r="FF7" i="31"/>
  <c r="FQ7" i="31"/>
  <c r="FW7" i="31"/>
  <c r="BW8" i="31"/>
  <c r="EZ8" i="31"/>
  <c r="FK8" i="31"/>
  <c r="CD8" i="31"/>
  <c r="FF8" i="31"/>
  <c r="FQ8" i="31"/>
  <c r="FW8" i="31"/>
  <c r="BW9" i="31"/>
  <c r="EZ9" i="31"/>
  <c r="FK9" i="31"/>
  <c r="CD9" i="31"/>
  <c r="FF9" i="31"/>
  <c r="FQ9" i="31"/>
  <c r="FW9" i="31"/>
  <c r="BW10" i="31"/>
  <c r="EZ10" i="31"/>
  <c r="FK10" i="31"/>
  <c r="CD10" i="31"/>
  <c r="FF10" i="31"/>
  <c r="FQ10" i="31"/>
  <c r="FW10" i="31"/>
  <c r="BW11" i="31"/>
  <c r="EZ11" i="31"/>
  <c r="FK11" i="31"/>
  <c r="CD11" i="31"/>
  <c r="FF11" i="31"/>
  <c r="FQ11" i="31"/>
  <c r="FW11" i="31"/>
  <c r="BW12" i="31"/>
  <c r="EZ12" i="31"/>
  <c r="FK12" i="31"/>
  <c r="CD12" i="31"/>
  <c r="FF12" i="31"/>
  <c r="FQ12" i="31"/>
  <c r="FW12" i="31"/>
  <c r="BW13" i="31"/>
  <c r="EZ13" i="31"/>
  <c r="FK13" i="31"/>
  <c r="CD13" i="31"/>
  <c r="FF13" i="31"/>
  <c r="FQ13" i="31"/>
  <c r="FW13" i="31"/>
  <c r="BW14" i="31"/>
  <c r="EZ14" i="31"/>
  <c r="FK14" i="31"/>
  <c r="CD14" i="31"/>
  <c r="FF14" i="31"/>
  <c r="FQ14" i="31"/>
  <c r="FW14" i="31"/>
  <c r="BW15" i="31"/>
  <c r="EZ15" i="31"/>
  <c r="FK15" i="31"/>
  <c r="CD15" i="31"/>
  <c r="FF15" i="31"/>
  <c r="FQ15" i="31"/>
  <c r="FW15" i="31"/>
  <c r="BU4" i="31"/>
  <c r="EY4" i="31"/>
  <c r="FJ4" i="31"/>
  <c r="CB4" i="31"/>
  <c r="FE4" i="31"/>
  <c r="FP4" i="31"/>
  <c r="FV4" i="31"/>
  <c r="BU5" i="31"/>
  <c r="EY5" i="31"/>
  <c r="FJ5" i="31"/>
  <c r="CB5" i="31"/>
  <c r="FE5" i="31"/>
  <c r="FP5" i="31"/>
  <c r="FV5" i="31"/>
  <c r="BU6" i="31"/>
  <c r="EY6" i="31"/>
  <c r="FJ6" i="31"/>
  <c r="CB6" i="31"/>
  <c r="FE6" i="31"/>
  <c r="FP6" i="31"/>
  <c r="FV6" i="31"/>
  <c r="BU7" i="31"/>
  <c r="EY7" i="31"/>
  <c r="FJ7" i="31"/>
  <c r="CB7" i="31"/>
  <c r="FE7" i="31"/>
  <c r="FP7" i="31"/>
  <c r="FV7" i="31"/>
  <c r="BU8" i="31"/>
  <c r="EY8" i="31"/>
  <c r="FJ8" i="31"/>
  <c r="CB8" i="31"/>
  <c r="FE8" i="31"/>
  <c r="FP8" i="31"/>
  <c r="FV8" i="31"/>
  <c r="BU9" i="31"/>
  <c r="EY9" i="31"/>
  <c r="FJ9" i="31"/>
  <c r="CB9" i="31"/>
  <c r="FE9" i="31"/>
  <c r="FP9" i="31"/>
  <c r="FV9" i="31"/>
  <c r="BU10" i="31"/>
  <c r="EY10" i="31"/>
  <c r="FJ10" i="31"/>
  <c r="CB10" i="31"/>
  <c r="FE10" i="31"/>
  <c r="FP10" i="31"/>
  <c r="FV10" i="31"/>
  <c r="BU11" i="31"/>
  <c r="EY11" i="31"/>
  <c r="FJ11" i="31"/>
  <c r="CB11" i="31"/>
  <c r="FE11" i="31"/>
  <c r="FP11" i="31"/>
  <c r="FV11" i="31"/>
  <c r="BU12" i="31"/>
  <c r="EY12" i="31"/>
  <c r="FJ12" i="31"/>
  <c r="CB12" i="31"/>
  <c r="FE12" i="31"/>
  <c r="FP12" i="31"/>
  <c r="FV12" i="31"/>
  <c r="BU13" i="31"/>
  <c r="EY13" i="31"/>
  <c r="FJ13" i="31"/>
  <c r="CB13" i="31"/>
  <c r="FE13" i="31"/>
  <c r="FP13" i="31"/>
  <c r="FV13" i="31"/>
  <c r="BU14" i="31"/>
  <c r="EY14" i="31"/>
  <c r="FJ14" i="31"/>
  <c r="CB14" i="31"/>
  <c r="FE14" i="31"/>
  <c r="FP14" i="31"/>
  <c r="FV14" i="31"/>
  <c r="BU15" i="31"/>
  <c r="EY15" i="31"/>
  <c r="FJ15" i="31"/>
  <c r="CB15" i="31"/>
  <c r="FE15" i="31"/>
  <c r="FP15" i="31"/>
  <c r="FV15" i="31"/>
  <c r="BT4" i="31"/>
  <c r="EX4" i="31"/>
  <c r="FI4" i="31"/>
  <c r="CA4" i="31"/>
  <c r="FD4" i="31"/>
  <c r="FO4" i="31"/>
  <c r="FU4" i="31"/>
  <c r="BT5" i="31"/>
  <c r="EX5" i="31"/>
  <c r="FI5" i="31"/>
  <c r="CA5" i="31"/>
  <c r="FD5" i="31"/>
  <c r="FO5" i="31"/>
  <c r="FU5" i="31"/>
  <c r="BT6" i="31"/>
  <c r="EX6" i="31"/>
  <c r="FI6" i="31"/>
  <c r="CA6" i="31"/>
  <c r="FD6" i="31"/>
  <c r="FO6" i="31"/>
  <c r="FU6" i="31"/>
  <c r="BT7" i="31"/>
  <c r="EX7" i="31"/>
  <c r="FI7" i="31"/>
  <c r="CA7" i="31"/>
  <c r="FD7" i="31"/>
  <c r="FO7" i="31"/>
  <c r="FU7" i="31"/>
  <c r="BT8" i="31"/>
  <c r="EX8" i="31"/>
  <c r="FI8" i="31"/>
  <c r="CA8" i="31"/>
  <c r="FD8" i="31"/>
  <c r="FO8" i="31"/>
  <c r="FU8" i="31"/>
  <c r="BT9" i="31"/>
  <c r="EX9" i="31"/>
  <c r="FI9" i="31"/>
  <c r="CA9" i="31"/>
  <c r="FD9" i="31"/>
  <c r="FO9" i="31"/>
  <c r="FU9" i="31"/>
  <c r="BT10" i="31"/>
  <c r="EX10" i="31"/>
  <c r="FI10" i="31"/>
  <c r="CA10" i="31"/>
  <c r="FD10" i="31"/>
  <c r="FO10" i="31"/>
  <c r="FU10" i="31"/>
  <c r="BT11" i="31"/>
  <c r="EX11" i="31"/>
  <c r="FI11" i="31"/>
  <c r="CA11" i="31"/>
  <c r="FD11" i="31"/>
  <c r="FO11" i="31"/>
  <c r="FU11" i="31"/>
  <c r="BT12" i="31"/>
  <c r="EX12" i="31"/>
  <c r="FI12" i="31"/>
  <c r="CA12" i="31"/>
  <c r="FD12" i="31"/>
  <c r="FO12" i="31"/>
  <c r="FU12" i="31"/>
  <c r="BT13" i="31"/>
  <c r="EX13" i="31"/>
  <c r="FI13" i="31"/>
  <c r="CA13" i="31"/>
  <c r="FD13" i="31"/>
  <c r="FO13" i="31"/>
  <c r="FU13" i="31"/>
  <c r="BT14" i="31"/>
  <c r="EX14" i="31"/>
  <c r="FI14" i="31"/>
  <c r="CA14" i="31"/>
  <c r="FD14" i="31"/>
  <c r="FO14" i="31"/>
  <c r="FU14" i="31"/>
  <c r="BT15" i="31"/>
  <c r="EX15" i="31"/>
  <c r="FI15" i="31"/>
  <c r="CA15" i="31"/>
  <c r="FD15" i="31"/>
  <c r="FO15" i="31"/>
  <c r="FU15" i="31"/>
  <c r="BS4" i="31"/>
  <c r="EW4" i="31"/>
  <c r="FH4" i="31"/>
  <c r="BZ4" i="31"/>
  <c r="FC4" i="31"/>
  <c r="FN4" i="31"/>
  <c r="FT4" i="31"/>
  <c r="BS5" i="31"/>
  <c r="EW5" i="31"/>
  <c r="FH5" i="31"/>
  <c r="BZ5" i="31"/>
  <c r="FC5" i="31"/>
  <c r="FN5" i="31"/>
  <c r="FT5" i="31"/>
  <c r="BS6" i="31"/>
  <c r="EW6" i="31"/>
  <c r="FH6" i="31"/>
  <c r="BZ6" i="31"/>
  <c r="FC6" i="31"/>
  <c r="FN6" i="31"/>
  <c r="FT6" i="31"/>
  <c r="BS7" i="31"/>
  <c r="EW7" i="31"/>
  <c r="FH7" i="31"/>
  <c r="BZ7" i="31"/>
  <c r="FC7" i="31"/>
  <c r="FN7" i="31"/>
  <c r="FT7" i="31"/>
  <c r="BS8" i="31"/>
  <c r="EW8" i="31"/>
  <c r="FH8" i="31"/>
  <c r="BZ8" i="31"/>
  <c r="FC8" i="31"/>
  <c r="FN8" i="31"/>
  <c r="FT8" i="31"/>
  <c r="BS9" i="31"/>
  <c r="EW9" i="31"/>
  <c r="FH9" i="31"/>
  <c r="BZ9" i="31"/>
  <c r="FC9" i="31"/>
  <c r="FN9" i="31"/>
  <c r="FT9" i="31"/>
  <c r="BS10" i="31"/>
  <c r="EW10" i="31"/>
  <c r="FH10" i="31"/>
  <c r="BZ10" i="31"/>
  <c r="FC10" i="31"/>
  <c r="FN10" i="31"/>
  <c r="FT10" i="31"/>
  <c r="BS11" i="31"/>
  <c r="EW11" i="31"/>
  <c r="FH11" i="31"/>
  <c r="BZ11" i="31"/>
  <c r="FC11" i="31"/>
  <c r="FN11" i="31"/>
  <c r="FT11" i="31"/>
  <c r="BS12" i="31"/>
  <c r="EW12" i="31"/>
  <c r="FH12" i="31"/>
  <c r="BZ12" i="31"/>
  <c r="FC12" i="31"/>
  <c r="FN12" i="31"/>
  <c r="FT12" i="31"/>
  <c r="BS13" i="31"/>
  <c r="EW13" i="31"/>
  <c r="FH13" i="31"/>
  <c r="BZ13" i="31"/>
  <c r="FC13" i="31"/>
  <c r="FN13" i="31"/>
  <c r="FT13" i="31"/>
  <c r="BS14" i="31"/>
  <c r="EW14" i="31"/>
  <c r="FH14" i="31"/>
  <c r="BZ14" i="31"/>
  <c r="FC14" i="31"/>
  <c r="FN14" i="31"/>
  <c r="FT14" i="31"/>
  <c r="BS15" i="31"/>
  <c r="EW15" i="31"/>
  <c r="FH15" i="31"/>
  <c r="BZ15" i="31"/>
  <c r="FC15" i="31"/>
  <c r="FN15" i="31"/>
  <c r="FT15" i="31"/>
  <c r="BX4" i="31"/>
  <c r="FA4" i="31"/>
  <c r="FL4" i="31"/>
  <c r="BX5" i="31"/>
  <c r="FA5" i="31"/>
  <c r="FL5" i="31"/>
  <c r="BX6" i="31"/>
  <c r="FA6" i="31"/>
  <c r="FL6" i="31"/>
  <c r="BX7" i="31"/>
  <c r="FA7" i="31"/>
  <c r="FL7" i="31"/>
  <c r="BX8" i="31"/>
  <c r="FA8" i="31"/>
  <c r="FL8" i="31"/>
  <c r="BX9" i="31"/>
  <c r="FA9" i="31"/>
  <c r="FL9" i="31"/>
  <c r="BX10" i="31"/>
  <c r="FA10" i="31"/>
  <c r="FL10" i="31"/>
  <c r="BX11" i="31"/>
  <c r="FA11" i="31"/>
  <c r="FL11" i="31"/>
  <c r="BX12" i="31"/>
  <c r="FA12" i="31"/>
  <c r="FL12" i="31"/>
  <c r="BX13" i="31"/>
  <c r="FA13" i="31"/>
  <c r="FL13" i="31"/>
  <c r="BX14" i="31"/>
  <c r="FA14" i="31"/>
  <c r="FL14" i="31"/>
  <c r="BX15" i="31"/>
  <c r="FA15" i="31"/>
  <c r="FL15" i="31"/>
  <c r="ET4" i="31"/>
  <c r="ET5" i="31"/>
  <c r="ET6" i="31"/>
  <c r="ET7" i="31"/>
  <c r="ET8" i="31"/>
  <c r="ET9" i="31"/>
  <c r="ET10" i="31"/>
  <c r="ET11" i="31"/>
  <c r="ET12" i="31"/>
  <c r="ET13" i="31"/>
  <c r="ET14" i="31"/>
  <c r="ET15" i="31"/>
  <c r="ER4" i="31"/>
  <c r="ER5" i="31"/>
  <c r="ER6" i="31"/>
  <c r="ER7" i="31"/>
  <c r="ER8" i="31"/>
  <c r="ER9" i="31"/>
  <c r="ER10" i="31"/>
  <c r="ER11" i="31"/>
  <c r="ER12" i="31"/>
  <c r="ER13" i="31"/>
  <c r="ER14" i="31"/>
  <c r="ER15" i="31"/>
  <c r="EQ4" i="31"/>
  <c r="EQ5" i="31"/>
  <c r="EQ6" i="31"/>
  <c r="EQ7" i="31"/>
  <c r="EQ8" i="31"/>
  <c r="EQ9" i="31"/>
  <c r="EQ10" i="31"/>
  <c r="EQ11" i="31"/>
  <c r="EQ12" i="31"/>
  <c r="EQ13" i="31"/>
  <c r="EQ14" i="31"/>
  <c r="EQ15" i="31"/>
  <c r="EP4" i="31"/>
  <c r="EP5" i="31"/>
  <c r="EP6" i="31"/>
  <c r="EP7" i="31"/>
  <c r="EP8" i="31"/>
  <c r="EP9" i="31"/>
  <c r="EP10" i="31"/>
  <c r="EP11" i="31"/>
  <c r="EP12" i="31"/>
  <c r="EP13" i="31"/>
  <c r="EP14" i="31"/>
  <c r="EP15" i="31"/>
  <c r="EN4" i="31"/>
  <c r="EN5" i="31"/>
  <c r="EN6" i="31"/>
  <c r="EN7" i="31"/>
  <c r="EN8" i="31"/>
  <c r="EN9" i="31"/>
  <c r="EN10" i="31"/>
  <c r="EN11" i="31"/>
  <c r="EN12" i="31"/>
  <c r="EN13" i="31"/>
  <c r="EN14" i="31"/>
  <c r="EN15" i="31"/>
  <c r="EM4" i="31"/>
  <c r="EM5" i="31"/>
  <c r="EM6" i="31"/>
  <c r="EM7" i="31"/>
  <c r="EM8" i="31"/>
  <c r="EM9" i="31"/>
  <c r="EM10" i="31"/>
  <c r="EM11" i="31"/>
  <c r="EM12" i="31"/>
  <c r="EM13" i="31"/>
  <c r="EM14" i="31"/>
  <c r="EM15" i="31"/>
  <c r="EK4" i="31"/>
  <c r="EK5" i="31"/>
  <c r="EK6" i="31"/>
  <c r="EK7" i="31"/>
  <c r="EK8" i="31"/>
  <c r="EK9" i="31"/>
  <c r="EK10" i="31"/>
  <c r="EK11" i="31"/>
  <c r="EK12" i="31"/>
  <c r="EK13" i="31"/>
  <c r="EK14" i="31"/>
  <c r="EK15" i="31"/>
  <c r="EJ4" i="31"/>
  <c r="EJ5" i="31"/>
  <c r="EJ6" i="31"/>
  <c r="EJ7" i="31"/>
  <c r="EJ8" i="31"/>
  <c r="EJ9" i="31"/>
  <c r="EJ10" i="31"/>
  <c r="EJ11" i="31"/>
  <c r="EJ12" i="31"/>
  <c r="EJ13" i="31"/>
  <c r="EJ14" i="31"/>
  <c r="EJ15" i="31"/>
  <c r="EI4" i="31"/>
  <c r="EI5" i="31"/>
  <c r="EI6" i="31"/>
  <c r="EI7" i="31"/>
  <c r="EI8" i="31"/>
  <c r="EI9" i="31"/>
  <c r="EI10" i="31"/>
  <c r="EI11" i="31"/>
  <c r="EI12" i="31"/>
  <c r="EI13" i="31"/>
  <c r="EI14" i="31"/>
  <c r="EI15" i="31"/>
  <c r="DS4" i="31"/>
  <c r="DS5" i="31"/>
  <c r="DS6" i="31"/>
  <c r="DS7" i="31"/>
  <c r="DS8" i="31"/>
  <c r="DS9" i="31"/>
  <c r="DS10" i="31"/>
  <c r="DS11" i="31"/>
  <c r="DS12" i="31"/>
  <c r="DS13" i="31"/>
  <c r="DS14" i="31"/>
  <c r="DS15" i="31"/>
  <c r="DR4" i="31"/>
  <c r="DR5" i="31"/>
  <c r="DR6" i="31"/>
  <c r="DR7" i="31"/>
  <c r="DR8" i="31"/>
  <c r="DR9" i="31"/>
  <c r="DR10" i="31"/>
  <c r="DR11" i="31"/>
  <c r="DR12" i="31"/>
  <c r="DR13" i="31"/>
  <c r="DR14" i="31"/>
  <c r="DR15" i="31"/>
  <c r="DQ4" i="31"/>
  <c r="DQ5" i="31"/>
  <c r="DQ6" i="31"/>
  <c r="DQ7" i="31"/>
  <c r="DQ8" i="31"/>
  <c r="DQ9" i="31"/>
  <c r="DQ10" i="31"/>
  <c r="DQ11" i="31"/>
  <c r="DQ12" i="31"/>
  <c r="DQ13" i="31"/>
  <c r="DQ14" i="31"/>
  <c r="DQ15" i="31"/>
  <c r="DP4" i="31"/>
  <c r="DP5" i="31"/>
  <c r="DP6" i="31"/>
  <c r="DP7" i="31"/>
  <c r="DP8" i="31"/>
  <c r="DP9" i="31"/>
  <c r="DP10" i="31"/>
  <c r="DP11" i="31"/>
  <c r="DP12" i="31"/>
  <c r="DP13" i="31"/>
  <c r="DP14" i="31"/>
  <c r="DP15" i="31"/>
  <c r="DN4" i="31"/>
  <c r="DN5" i="31"/>
  <c r="DN6" i="31"/>
  <c r="DN7" i="31"/>
  <c r="DN8" i="31"/>
  <c r="DN9" i="31"/>
  <c r="DN10" i="31"/>
  <c r="DN11" i="31"/>
  <c r="DN12" i="31"/>
  <c r="DN13" i="31"/>
  <c r="DN14" i="31"/>
  <c r="DN15" i="31"/>
  <c r="DM4" i="31"/>
  <c r="DM5" i="31"/>
  <c r="DM6" i="31"/>
  <c r="DM7" i="31"/>
  <c r="DM8" i="31"/>
  <c r="DM9" i="31"/>
  <c r="DM10" i="31"/>
  <c r="DM11" i="31"/>
  <c r="DM12" i="31"/>
  <c r="DM13" i="31"/>
  <c r="DM14" i="31"/>
  <c r="DM15" i="31"/>
  <c r="DL4" i="31"/>
  <c r="DL5" i="31"/>
  <c r="DL6" i="31"/>
  <c r="DL7" i="31"/>
  <c r="DL8" i="31"/>
  <c r="DL9" i="31"/>
  <c r="DL10" i="31"/>
  <c r="DL11" i="31"/>
  <c r="DL12" i="31"/>
  <c r="DL13" i="31"/>
  <c r="DL14" i="31"/>
  <c r="DL15" i="31"/>
  <c r="DK4" i="31"/>
  <c r="DK5" i="31"/>
  <c r="DK6" i="31"/>
  <c r="DK7" i="31"/>
  <c r="DK8" i="31"/>
  <c r="DK9" i="31"/>
  <c r="DK10" i="31"/>
  <c r="DK11" i="31"/>
  <c r="DK12" i="31"/>
  <c r="DK13" i="31"/>
  <c r="DK14" i="31"/>
  <c r="DK15" i="31"/>
  <c r="CJ4" i="31"/>
  <c r="CQ4" i="31"/>
  <c r="CX4" i="31"/>
  <c r="CJ5" i="31"/>
  <c r="CQ5" i="31"/>
  <c r="CX5" i="31"/>
  <c r="CJ6" i="31"/>
  <c r="CQ6" i="31"/>
  <c r="CX6" i="31"/>
  <c r="CJ7" i="31"/>
  <c r="CQ7" i="31"/>
  <c r="CX7" i="31"/>
  <c r="CJ8" i="31"/>
  <c r="CQ8" i="31"/>
  <c r="CX8" i="31"/>
  <c r="CJ9" i="31"/>
  <c r="CQ9" i="31"/>
  <c r="CX9" i="31"/>
  <c r="CJ10" i="31"/>
  <c r="CQ10" i="31"/>
  <c r="CX10" i="31"/>
  <c r="CJ11" i="31"/>
  <c r="CQ11" i="31"/>
  <c r="CX11" i="31"/>
  <c r="CJ12" i="31"/>
  <c r="CQ12" i="31"/>
  <c r="CX12" i="31"/>
  <c r="CJ13" i="31"/>
  <c r="CQ13" i="31"/>
  <c r="CX13" i="31"/>
  <c r="CJ14" i="31"/>
  <c r="CQ14" i="31"/>
  <c r="CX14" i="31"/>
  <c r="CJ15" i="31"/>
  <c r="CQ15" i="31"/>
  <c r="CX15" i="31"/>
  <c r="CH4" i="31"/>
  <c r="CO4" i="31"/>
  <c r="CV4" i="31"/>
  <c r="CH5" i="31"/>
  <c r="CO5" i="31"/>
  <c r="CV5" i="31"/>
  <c r="CH6" i="31"/>
  <c r="CO6" i="31"/>
  <c r="CV6" i="31"/>
  <c r="CH7" i="31"/>
  <c r="CO7" i="31"/>
  <c r="CV7" i="31"/>
  <c r="CH8" i="31"/>
  <c r="CO8" i="31"/>
  <c r="CV8" i="31"/>
  <c r="CH9" i="31"/>
  <c r="CO9" i="31"/>
  <c r="CV9" i="31"/>
  <c r="CH10" i="31"/>
  <c r="CO10" i="31"/>
  <c r="CV10" i="31"/>
  <c r="CH11" i="31"/>
  <c r="CO11" i="31"/>
  <c r="CV11" i="31"/>
  <c r="CH12" i="31"/>
  <c r="CO12" i="31"/>
  <c r="CV12" i="31"/>
  <c r="CH13" i="31"/>
  <c r="CO13" i="31"/>
  <c r="CV13" i="31"/>
  <c r="CH14" i="31"/>
  <c r="CO14" i="31"/>
  <c r="CV14" i="31"/>
  <c r="CH15" i="31"/>
  <c r="CO15" i="31"/>
  <c r="CV15" i="31"/>
  <c r="CG4" i="31"/>
  <c r="CN4" i="31"/>
  <c r="CU4" i="31"/>
  <c r="CG5" i="31"/>
  <c r="CN5" i="31"/>
  <c r="CU5" i="31"/>
  <c r="CG6" i="31"/>
  <c r="CN6" i="31"/>
  <c r="CU6" i="31"/>
  <c r="CG7" i="31"/>
  <c r="CN7" i="31"/>
  <c r="CU7" i="31"/>
  <c r="CG8" i="31"/>
  <c r="CN8" i="31"/>
  <c r="CU8" i="31"/>
  <c r="CG9" i="31"/>
  <c r="CN9" i="31"/>
  <c r="CU9" i="31"/>
  <c r="CG10" i="31"/>
  <c r="CN10" i="31"/>
  <c r="CU10" i="31"/>
  <c r="CG11" i="31"/>
  <c r="CN11" i="31"/>
  <c r="CU11" i="31"/>
  <c r="CG12" i="31"/>
  <c r="CN12" i="31"/>
  <c r="CU12" i="31"/>
  <c r="CG13" i="31"/>
  <c r="CN13" i="31"/>
  <c r="CU13" i="31"/>
  <c r="CG14" i="31"/>
  <c r="CN14" i="31"/>
  <c r="CU14" i="31"/>
  <c r="CG15" i="31"/>
  <c r="CN15" i="31"/>
  <c r="CU15" i="31"/>
  <c r="CF4" i="31"/>
  <c r="CM4" i="31"/>
  <c r="CT4" i="31"/>
  <c r="CF5" i="31"/>
  <c r="CM5" i="31"/>
  <c r="CT5" i="31"/>
  <c r="CF6" i="31"/>
  <c r="CM6" i="31"/>
  <c r="CT6" i="31"/>
  <c r="CF7" i="31"/>
  <c r="CM7" i="31"/>
  <c r="CT7" i="31"/>
  <c r="CF8" i="31"/>
  <c r="CM8" i="31"/>
  <c r="CT8" i="31"/>
  <c r="CF9" i="31"/>
  <c r="CM9" i="31"/>
  <c r="CT9" i="31"/>
  <c r="CF10" i="31"/>
  <c r="CM10" i="31"/>
  <c r="CT10" i="31"/>
  <c r="CF11" i="31"/>
  <c r="CM11" i="31"/>
  <c r="CT11" i="31"/>
  <c r="CF12" i="31"/>
  <c r="CM12" i="31"/>
  <c r="CT12" i="31"/>
  <c r="CF13" i="31"/>
  <c r="CM13" i="31"/>
  <c r="CT13" i="31"/>
  <c r="CF14" i="31"/>
  <c r="CM14" i="31"/>
  <c r="CT14" i="31"/>
  <c r="CF15" i="31"/>
  <c r="CM15" i="31"/>
  <c r="CT15" i="31"/>
  <c r="CS4" i="31"/>
  <c r="CS5" i="31"/>
  <c r="CS6" i="31"/>
  <c r="CS7" i="31"/>
  <c r="CS8" i="31"/>
  <c r="CS9" i="31"/>
  <c r="CS10" i="31"/>
  <c r="CS11" i="31"/>
  <c r="CS12" i="31"/>
  <c r="CS13" i="31"/>
  <c r="CS14" i="31"/>
  <c r="CS15" i="31"/>
  <c r="CK4" i="31"/>
  <c r="CK5" i="31"/>
  <c r="CK6" i="31"/>
  <c r="CK7" i="31"/>
  <c r="CK8" i="31"/>
  <c r="CK9" i="31"/>
  <c r="CK10" i="31"/>
  <c r="CK11" i="31"/>
  <c r="CK12" i="31"/>
  <c r="CK13" i="31"/>
  <c r="CK14" i="31"/>
  <c r="CK15" i="31"/>
  <c r="E9" i="30"/>
  <c r="D9" i="30"/>
  <c r="K29" i="29"/>
  <c r="L29" i="29"/>
  <c r="K28" i="29"/>
  <c r="L28" i="29"/>
  <c r="K27" i="29"/>
  <c r="L27" i="29"/>
  <c r="K26" i="29"/>
  <c r="L26" i="29"/>
  <c r="K25" i="29"/>
  <c r="L25" i="29"/>
  <c r="K24" i="29"/>
  <c r="L24" i="29"/>
  <c r="K23" i="29"/>
  <c r="L23" i="29"/>
  <c r="K22" i="29"/>
  <c r="L22" i="29"/>
  <c r="K21" i="29"/>
  <c r="L21" i="29"/>
  <c r="K20" i="29"/>
  <c r="L20" i="29"/>
  <c r="K19" i="29"/>
  <c r="L19" i="29"/>
  <c r="K18" i="29"/>
  <c r="L18" i="29"/>
  <c r="K17" i="29"/>
  <c r="L17" i="29"/>
  <c r="K16" i="29"/>
  <c r="L16" i="29"/>
  <c r="K15" i="29"/>
  <c r="L15" i="29"/>
  <c r="K14" i="29"/>
  <c r="L14" i="29"/>
  <c r="K13" i="29"/>
  <c r="L13" i="29"/>
  <c r="K12" i="29"/>
  <c r="L12" i="29"/>
  <c r="K11" i="29"/>
  <c r="L11" i="29"/>
  <c r="L10" i="29"/>
  <c r="K10" i="29"/>
  <c r="AP9" i="29"/>
  <c r="AO9" i="29"/>
  <c r="L9" i="29"/>
  <c r="K9" i="29"/>
  <c r="F9" i="29"/>
  <c r="E9" i="29"/>
  <c r="L8" i="29"/>
  <c r="K8" i="29"/>
  <c r="F8" i="29"/>
  <c r="E8" i="29"/>
  <c r="L7" i="29"/>
  <c r="K7" i="29"/>
  <c r="F7" i="29"/>
  <c r="E7" i="29"/>
  <c r="L6" i="29"/>
  <c r="K6" i="29"/>
  <c r="F6" i="29"/>
  <c r="E6" i="29"/>
  <c r="L5" i="29"/>
  <c r="K5" i="29"/>
  <c r="F5" i="29"/>
  <c r="E5" i="29"/>
  <c r="L4" i="29"/>
  <c r="K4" i="29"/>
  <c r="F4" i="29"/>
  <c r="E4" i="29"/>
  <c r="AK4" i="17"/>
  <c r="G3" i="17"/>
  <c r="AR4" i="17"/>
  <c r="BG4" i="17"/>
  <c r="AP4" i="17"/>
  <c r="M3" i="17"/>
  <c r="BK4" i="17"/>
  <c r="C3" i="17"/>
  <c r="D3" i="17"/>
  <c r="E3" i="17"/>
  <c r="H3" i="17"/>
  <c r="B3" i="17"/>
  <c r="R3" i="17"/>
  <c r="J3" i="17"/>
  <c r="K3" i="17"/>
  <c r="L3" i="17"/>
  <c r="I3" i="17"/>
  <c r="V3" i="17"/>
  <c r="CI4" i="17"/>
  <c r="AK5" i="17"/>
  <c r="G4" i="17"/>
  <c r="AR5" i="17"/>
  <c r="BG5" i="17"/>
  <c r="AP5" i="17"/>
  <c r="M4" i="17"/>
  <c r="BK5" i="17"/>
  <c r="C4" i="17"/>
  <c r="D4" i="17"/>
  <c r="E4" i="17"/>
  <c r="H4" i="17"/>
  <c r="B4" i="17"/>
  <c r="R4" i="17"/>
  <c r="J4" i="17"/>
  <c r="K4" i="17"/>
  <c r="L4" i="17"/>
  <c r="I4" i="17"/>
  <c r="V4" i="17"/>
  <c r="CI5" i="17"/>
  <c r="AK6" i="17"/>
  <c r="G5" i="17"/>
  <c r="AR6" i="17"/>
  <c r="BG6" i="17"/>
  <c r="AP6" i="17"/>
  <c r="M5" i="17"/>
  <c r="BK6" i="17"/>
  <c r="C5" i="17"/>
  <c r="D5" i="17"/>
  <c r="E5" i="17"/>
  <c r="H5" i="17"/>
  <c r="B5" i="17"/>
  <c r="R5" i="17"/>
  <c r="J5" i="17"/>
  <c r="K5" i="17"/>
  <c r="L5" i="17"/>
  <c r="I5" i="17"/>
  <c r="V5" i="17"/>
  <c r="CI6" i="17"/>
  <c r="AK7" i="17"/>
  <c r="G6" i="17"/>
  <c r="AR7" i="17"/>
  <c r="BG7" i="17"/>
  <c r="AP7" i="17"/>
  <c r="M6" i="17"/>
  <c r="BK7" i="17"/>
  <c r="C6" i="17"/>
  <c r="D6" i="17"/>
  <c r="E6" i="17"/>
  <c r="H6" i="17"/>
  <c r="B6" i="17"/>
  <c r="R6" i="17"/>
  <c r="J6" i="17"/>
  <c r="K6" i="17"/>
  <c r="L6" i="17"/>
  <c r="I6" i="17"/>
  <c r="V6" i="17"/>
  <c r="CI7" i="17"/>
  <c r="AK8" i="17"/>
  <c r="G7" i="17"/>
  <c r="AR8" i="17"/>
  <c r="BG8" i="17"/>
  <c r="AP8" i="17"/>
  <c r="M7" i="17"/>
  <c r="BK8" i="17"/>
  <c r="C7" i="17"/>
  <c r="D7" i="17"/>
  <c r="E7" i="17"/>
  <c r="H7" i="17"/>
  <c r="B7" i="17"/>
  <c r="R7" i="17"/>
  <c r="J7" i="17"/>
  <c r="K7" i="17"/>
  <c r="L7" i="17"/>
  <c r="I7" i="17"/>
  <c r="V7" i="17"/>
  <c r="CI8" i="17"/>
  <c r="AK9" i="17"/>
  <c r="G8" i="17"/>
  <c r="AR9" i="17"/>
  <c r="BG9" i="17"/>
  <c r="AP9" i="17"/>
  <c r="M8" i="17"/>
  <c r="BK9" i="17"/>
  <c r="C8" i="17"/>
  <c r="D8" i="17"/>
  <c r="E8" i="17"/>
  <c r="H8" i="17"/>
  <c r="B8" i="17"/>
  <c r="R8" i="17"/>
  <c r="J8" i="17"/>
  <c r="K8" i="17"/>
  <c r="L8" i="17"/>
  <c r="I8" i="17"/>
  <c r="V8" i="17"/>
  <c r="CI9" i="17"/>
  <c r="AK10" i="17"/>
  <c r="G9" i="17"/>
  <c r="AR10" i="17"/>
  <c r="BG10" i="17"/>
  <c r="AP10" i="17"/>
  <c r="M9" i="17"/>
  <c r="BK10" i="17"/>
  <c r="C9" i="17"/>
  <c r="D9" i="17"/>
  <c r="E9" i="17"/>
  <c r="H9" i="17"/>
  <c r="B9" i="17"/>
  <c r="R9" i="17"/>
  <c r="J9" i="17"/>
  <c r="K9" i="17"/>
  <c r="L9" i="17"/>
  <c r="I9" i="17"/>
  <c r="V9" i="17"/>
  <c r="CI10" i="17"/>
  <c r="AK11" i="17"/>
  <c r="G10" i="17"/>
  <c r="AR11" i="17"/>
  <c r="BG11" i="17"/>
  <c r="AP11" i="17"/>
  <c r="M10" i="17"/>
  <c r="BK11" i="17"/>
  <c r="C10" i="17"/>
  <c r="D10" i="17"/>
  <c r="E10" i="17"/>
  <c r="H10" i="17"/>
  <c r="B10" i="17"/>
  <c r="R10" i="17"/>
  <c r="J10" i="17"/>
  <c r="K10" i="17"/>
  <c r="L10" i="17"/>
  <c r="I10" i="17"/>
  <c r="V10" i="17"/>
  <c r="CI11" i="17"/>
  <c r="AK12" i="17"/>
  <c r="G11" i="17"/>
  <c r="AR12" i="17"/>
  <c r="BG12" i="17"/>
  <c r="AP12" i="17"/>
  <c r="M11" i="17"/>
  <c r="BK12" i="17"/>
  <c r="C11" i="17"/>
  <c r="D11" i="17"/>
  <c r="E11" i="17"/>
  <c r="H11" i="17"/>
  <c r="B11" i="17"/>
  <c r="R11" i="17"/>
  <c r="J11" i="17"/>
  <c r="K11" i="17"/>
  <c r="L11" i="17"/>
  <c r="I11" i="17"/>
  <c r="V11" i="17"/>
  <c r="CI12" i="17"/>
  <c r="AK13" i="17"/>
  <c r="G12" i="17"/>
  <c r="AR13" i="17"/>
  <c r="BG13" i="17"/>
  <c r="AP13" i="17"/>
  <c r="M12" i="17"/>
  <c r="BK13" i="17"/>
  <c r="C12" i="17"/>
  <c r="D12" i="17"/>
  <c r="E12" i="17"/>
  <c r="H12" i="17"/>
  <c r="B12" i="17"/>
  <c r="R12" i="17"/>
  <c r="J12" i="17"/>
  <c r="K12" i="17"/>
  <c r="L12" i="17"/>
  <c r="I12" i="17"/>
  <c r="V12" i="17"/>
  <c r="CI13" i="17"/>
  <c r="AK14" i="17"/>
  <c r="G13" i="17"/>
  <c r="AR14" i="17"/>
  <c r="BG14" i="17"/>
  <c r="AP14" i="17"/>
  <c r="M13" i="17"/>
  <c r="BK14" i="17"/>
  <c r="C13" i="17"/>
  <c r="D13" i="17"/>
  <c r="E13" i="17"/>
  <c r="H13" i="17"/>
  <c r="B13" i="17"/>
  <c r="R13" i="17"/>
  <c r="J13" i="17"/>
  <c r="K13" i="17"/>
  <c r="L13" i="17"/>
  <c r="I13" i="17"/>
  <c r="V13" i="17"/>
  <c r="CI14" i="17"/>
  <c r="AK15" i="17"/>
  <c r="G14" i="17"/>
  <c r="AR15" i="17"/>
  <c r="BG15" i="17"/>
  <c r="AP15" i="17"/>
  <c r="M14" i="17"/>
  <c r="BK15" i="17"/>
  <c r="C14" i="17"/>
  <c r="D14" i="17"/>
  <c r="E14" i="17"/>
  <c r="H14" i="17"/>
  <c r="B14" i="17"/>
  <c r="R14" i="17"/>
  <c r="J14" i="17"/>
  <c r="K14" i="17"/>
  <c r="L14" i="17"/>
  <c r="I14" i="17"/>
  <c r="V14" i="17"/>
  <c r="CI15" i="17"/>
  <c r="AK16" i="17"/>
  <c r="G15" i="17"/>
  <c r="AR16" i="17"/>
  <c r="BG16" i="17"/>
  <c r="AP16" i="17"/>
  <c r="M15" i="17"/>
  <c r="BK16" i="17"/>
  <c r="C15" i="17"/>
  <c r="D15" i="17"/>
  <c r="E15" i="17"/>
  <c r="H15" i="17"/>
  <c r="B15" i="17"/>
  <c r="R15" i="17"/>
  <c r="J15" i="17"/>
  <c r="K15" i="17"/>
  <c r="L15" i="17"/>
  <c r="I15" i="17"/>
  <c r="V15" i="17"/>
  <c r="CI16" i="17"/>
  <c r="AK17" i="17"/>
  <c r="G16" i="17"/>
  <c r="AR17" i="17"/>
  <c r="BG17" i="17"/>
  <c r="AP17" i="17"/>
  <c r="M16" i="17"/>
  <c r="BK17" i="17"/>
  <c r="C16" i="17"/>
  <c r="D16" i="17"/>
  <c r="E16" i="17"/>
  <c r="H16" i="17"/>
  <c r="B16" i="17"/>
  <c r="R16" i="17"/>
  <c r="J16" i="17"/>
  <c r="K16" i="17"/>
  <c r="L16" i="17"/>
  <c r="I16" i="17"/>
  <c r="V16" i="17"/>
  <c r="CI17" i="17"/>
  <c r="AK18" i="17"/>
  <c r="G17" i="17"/>
  <c r="AR18" i="17"/>
  <c r="BG18" i="17"/>
  <c r="AP18" i="17"/>
  <c r="M17" i="17"/>
  <c r="BK18" i="17"/>
  <c r="C17" i="17"/>
  <c r="D17" i="17"/>
  <c r="E17" i="17"/>
  <c r="H17" i="17"/>
  <c r="B17" i="17"/>
  <c r="R17" i="17"/>
  <c r="J17" i="17"/>
  <c r="K17" i="17"/>
  <c r="L17" i="17"/>
  <c r="I17" i="17"/>
  <c r="V17" i="17"/>
  <c r="CI18" i="17"/>
  <c r="AK19" i="17"/>
  <c r="G18" i="17"/>
  <c r="AR19" i="17"/>
  <c r="BG19" i="17"/>
  <c r="AP19" i="17"/>
  <c r="M18" i="17"/>
  <c r="BK19" i="17"/>
  <c r="C18" i="17"/>
  <c r="D18" i="17"/>
  <c r="E18" i="17"/>
  <c r="H18" i="17"/>
  <c r="B18" i="17"/>
  <c r="R18" i="17"/>
  <c r="J18" i="17"/>
  <c r="K18" i="17"/>
  <c r="L18" i="17"/>
  <c r="I18" i="17"/>
  <c r="V18" i="17"/>
  <c r="CI19" i="17"/>
  <c r="AK20" i="17"/>
  <c r="G19" i="17"/>
  <c r="AR20" i="17"/>
  <c r="BG20" i="17"/>
  <c r="AP20" i="17"/>
  <c r="M19" i="17"/>
  <c r="BK20" i="17"/>
  <c r="C19" i="17"/>
  <c r="D19" i="17"/>
  <c r="E19" i="17"/>
  <c r="H19" i="17"/>
  <c r="B19" i="17"/>
  <c r="R19" i="17"/>
  <c r="J19" i="17"/>
  <c r="K19" i="17"/>
  <c r="L19" i="17"/>
  <c r="I19" i="17"/>
  <c r="V19" i="17"/>
  <c r="CI20" i="17"/>
  <c r="AA5" i="17"/>
  <c r="AX5" i="17"/>
  <c r="AE5" i="17"/>
  <c r="BB5" i="17"/>
  <c r="BW5" i="17"/>
  <c r="AA6" i="17"/>
  <c r="AX6" i="17"/>
  <c r="AE6" i="17"/>
  <c r="BB6" i="17"/>
  <c r="BW6" i="17"/>
  <c r="AA7" i="17"/>
  <c r="AX7" i="17"/>
  <c r="AE7" i="17"/>
  <c r="BB7" i="17"/>
  <c r="BW7" i="17"/>
  <c r="AA8" i="17"/>
  <c r="AX8" i="17"/>
  <c r="AE8" i="17"/>
  <c r="BB8" i="17"/>
  <c r="BW8" i="17"/>
  <c r="AA9" i="17"/>
  <c r="AX9" i="17"/>
  <c r="AE9" i="17"/>
  <c r="BB9" i="17"/>
  <c r="BW9" i="17"/>
  <c r="AA10" i="17"/>
  <c r="AX10" i="17"/>
  <c r="AE10" i="17"/>
  <c r="BB10" i="17"/>
  <c r="BW10" i="17"/>
  <c r="AA11" i="17"/>
  <c r="AX11" i="17"/>
  <c r="AE11" i="17"/>
  <c r="BB11" i="17"/>
  <c r="BW11" i="17"/>
  <c r="AA12" i="17"/>
  <c r="AX12" i="17"/>
  <c r="AE12" i="17"/>
  <c r="BB12" i="17"/>
  <c r="BW12" i="17"/>
  <c r="AA13" i="17"/>
  <c r="AX13" i="17"/>
  <c r="AE13" i="17"/>
  <c r="BB13" i="17"/>
  <c r="BW13" i="17"/>
  <c r="AA14" i="17"/>
  <c r="AX14" i="17"/>
  <c r="AE14" i="17"/>
  <c r="BB14" i="17"/>
  <c r="BW14" i="17"/>
  <c r="AA15" i="17"/>
  <c r="AX15" i="17"/>
  <c r="AE15" i="17"/>
  <c r="BB15" i="17"/>
  <c r="BW15" i="17"/>
  <c r="AA16" i="17"/>
  <c r="AX16" i="17"/>
  <c r="AE16" i="17"/>
  <c r="BB16" i="17"/>
  <c r="BW16" i="17"/>
  <c r="AA17" i="17"/>
  <c r="AX17" i="17"/>
  <c r="AE17" i="17"/>
  <c r="BB17" i="17"/>
  <c r="BW17" i="17"/>
  <c r="AA18" i="17"/>
  <c r="AX18" i="17"/>
  <c r="AE18" i="17"/>
  <c r="BB18" i="17"/>
  <c r="BW18" i="17"/>
  <c r="AA19" i="17"/>
  <c r="AX19" i="17"/>
  <c r="AE19" i="17"/>
  <c r="BB19" i="17"/>
  <c r="BW19" i="17"/>
  <c r="AA20" i="17"/>
  <c r="AX20" i="17"/>
  <c r="AE20" i="17"/>
  <c r="BB20" i="17"/>
  <c r="BW20" i="17"/>
  <c r="AA4" i="17"/>
  <c r="AX4" i="17"/>
  <c r="AE4" i="17"/>
  <c r="BB4" i="17"/>
  <c r="BW4" i="17"/>
  <c r="G7" i="28"/>
  <c r="CC4" i="17"/>
  <c r="CC5" i="17"/>
  <c r="CC6" i="17"/>
  <c r="CC7" i="17"/>
  <c r="CC8" i="17"/>
  <c r="CC9" i="17"/>
  <c r="CC10" i="17"/>
  <c r="CC11" i="17"/>
  <c r="CC12" i="17"/>
  <c r="CC13" i="17"/>
  <c r="CC14" i="17"/>
  <c r="CC15" i="17"/>
  <c r="CC16" i="17"/>
  <c r="CC17" i="17"/>
  <c r="CC18" i="17"/>
  <c r="CC19" i="17"/>
  <c r="CC20" i="17"/>
  <c r="BQ5" i="17"/>
  <c r="BQ6" i="17"/>
  <c r="BQ7" i="17"/>
  <c r="BQ8" i="17"/>
  <c r="BQ9" i="17"/>
  <c r="BQ10" i="17"/>
  <c r="BQ11" i="17"/>
  <c r="BQ12" i="17"/>
  <c r="BQ13" i="17"/>
  <c r="BQ14" i="17"/>
  <c r="BQ15" i="17"/>
  <c r="BQ16" i="17"/>
  <c r="BQ17" i="17"/>
  <c r="BQ18" i="17"/>
  <c r="BQ19" i="17"/>
  <c r="BQ20" i="17"/>
  <c r="BQ4" i="17"/>
  <c r="G6" i="28"/>
  <c r="AJ4" i="17"/>
  <c r="F3" i="17"/>
  <c r="BF4" i="17"/>
  <c r="AO4" i="17"/>
  <c r="BJ4" i="17"/>
  <c r="Q3" i="17"/>
  <c r="U3" i="17"/>
  <c r="CH4" i="17"/>
  <c r="AJ5" i="17"/>
  <c r="F4" i="17"/>
  <c r="BF5" i="17"/>
  <c r="AO5" i="17"/>
  <c r="BJ5" i="17"/>
  <c r="Q4" i="17"/>
  <c r="U4" i="17"/>
  <c r="CH5" i="17"/>
  <c r="AJ6" i="17"/>
  <c r="F5" i="17"/>
  <c r="BF6" i="17"/>
  <c r="AO6" i="17"/>
  <c r="BJ6" i="17"/>
  <c r="Q5" i="17"/>
  <c r="U5" i="17"/>
  <c r="CH6" i="17"/>
  <c r="AJ7" i="17"/>
  <c r="F6" i="17"/>
  <c r="BF7" i="17"/>
  <c r="AO7" i="17"/>
  <c r="BJ7" i="17"/>
  <c r="Q6" i="17"/>
  <c r="U6" i="17"/>
  <c r="CH7" i="17"/>
  <c r="AJ8" i="17"/>
  <c r="F7" i="17"/>
  <c r="BF8" i="17"/>
  <c r="AO8" i="17"/>
  <c r="BJ8" i="17"/>
  <c r="Q7" i="17"/>
  <c r="U7" i="17"/>
  <c r="CH8" i="17"/>
  <c r="AJ9" i="17"/>
  <c r="F8" i="17"/>
  <c r="BF9" i="17"/>
  <c r="AO9" i="17"/>
  <c r="BJ9" i="17"/>
  <c r="Q8" i="17"/>
  <c r="U8" i="17"/>
  <c r="CH9" i="17"/>
  <c r="AJ10" i="17"/>
  <c r="F9" i="17"/>
  <c r="BF10" i="17"/>
  <c r="AO10" i="17"/>
  <c r="BJ10" i="17"/>
  <c r="Q9" i="17"/>
  <c r="U9" i="17"/>
  <c r="CH10" i="17"/>
  <c r="AJ11" i="17"/>
  <c r="F10" i="17"/>
  <c r="BF11" i="17"/>
  <c r="AO11" i="17"/>
  <c r="BJ11" i="17"/>
  <c r="Q10" i="17"/>
  <c r="U10" i="17"/>
  <c r="CH11" i="17"/>
  <c r="AJ12" i="17"/>
  <c r="F11" i="17"/>
  <c r="BF12" i="17"/>
  <c r="AO12" i="17"/>
  <c r="BJ12" i="17"/>
  <c r="Q11" i="17"/>
  <c r="U11" i="17"/>
  <c r="CH12" i="17"/>
  <c r="AJ13" i="17"/>
  <c r="F12" i="17"/>
  <c r="BF13" i="17"/>
  <c r="AO13" i="17"/>
  <c r="BJ13" i="17"/>
  <c r="Q12" i="17"/>
  <c r="U12" i="17"/>
  <c r="CH13" i="17"/>
  <c r="AJ14" i="17"/>
  <c r="F13" i="17"/>
  <c r="BF14" i="17"/>
  <c r="AO14" i="17"/>
  <c r="BJ14" i="17"/>
  <c r="Q13" i="17"/>
  <c r="U13" i="17"/>
  <c r="CH14" i="17"/>
  <c r="AJ15" i="17"/>
  <c r="F14" i="17"/>
  <c r="BF15" i="17"/>
  <c r="AO15" i="17"/>
  <c r="BJ15" i="17"/>
  <c r="Q14" i="17"/>
  <c r="U14" i="17"/>
  <c r="CH15" i="17"/>
  <c r="AJ16" i="17"/>
  <c r="F15" i="17"/>
  <c r="BF16" i="17"/>
  <c r="AO16" i="17"/>
  <c r="BJ16" i="17"/>
  <c r="Q15" i="17"/>
  <c r="U15" i="17"/>
  <c r="CH16" i="17"/>
  <c r="AJ17" i="17"/>
  <c r="F16" i="17"/>
  <c r="BF17" i="17"/>
  <c r="AO17" i="17"/>
  <c r="BJ17" i="17"/>
  <c r="Q16" i="17"/>
  <c r="U16" i="17"/>
  <c r="CH17" i="17"/>
  <c r="AJ18" i="17"/>
  <c r="F17" i="17"/>
  <c r="BF18" i="17"/>
  <c r="AO18" i="17"/>
  <c r="BJ18" i="17"/>
  <c r="Q17" i="17"/>
  <c r="U17" i="17"/>
  <c r="CH18" i="17"/>
  <c r="AJ19" i="17"/>
  <c r="F18" i="17"/>
  <c r="BF19" i="17"/>
  <c r="AO19" i="17"/>
  <c r="BJ19" i="17"/>
  <c r="Q18" i="17"/>
  <c r="U18" i="17"/>
  <c r="CH19" i="17"/>
  <c r="AJ20" i="17"/>
  <c r="F19" i="17"/>
  <c r="BF20" i="17"/>
  <c r="AO20" i="17"/>
  <c r="BJ20" i="17"/>
  <c r="Q19" i="17"/>
  <c r="U19" i="17"/>
  <c r="CH20" i="17"/>
  <c r="Z5" i="17"/>
  <c r="AW5" i="17"/>
  <c r="AD5" i="17"/>
  <c r="BA5" i="17"/>
  <c r="BV5" i="17"/>
  <c r="Z6" i="17"/>
  <c r="AW6" i="17"/>
  <c r="AD6" i="17"/>
  <c r="BA6" i="17"/>
  <c r="BV6" i="17"/>
  <c r="Z7" i="17"/>
  <c r="AW7" i="17"/>
  <c r="AD7" i="17"/>
  <c r="BA7" i="17"/>
  <c r="BV7" i="17"/>
  <c r="Z8" i="17"/>
  <c r="AW8" i="17"/>
  <c r="AD8" i="17"/>
  <c r="BA8" i="17"/>
  <c r="BV8" i="17"/>
  <c r="Z9" i="17"/>
  <c r="AW9" i="17"/>
  <c r="AD9" i="17"/>
  <c r="BA9" i="17"/>
  <c r="BV9" i="17"/>
  <c r="Z10" i="17"/>
  <c r="AW10" i="17"/>
  <c r="AD10" i="17"/>
  <c r="BA10" i="17"/>
  <c r="BV10" i="17"/>
  <c r="Z11" i="17"/>
  <c r="AW11" i="17"/>
  <c r="AD11" i="17"/>
  <c r="BA11" i="17"/>
  <c r="BV11" i="17"/>
  <c r="Z12" i="17"/>
  <c r="AW12" i="17"/>
  <c r="AD12" i="17"/>
  <c r="BA12" i="17"/>
  <c r="BV12" i="17"/>
  <c r="Z13" i="17"/>
  <c r="AW13" i="17"/>
  <c r="AD13" i="17"/>
  <c r="BA13" i="17"/>
  <c r="BV13" i="17"/>
  <c r="Z14" i="17"/>
  <c r="AW14" i="17"/>
  <c r="AD14" i="17"/>
  <c r="BA14" i="17"/>
  <c r="BV14" i="17"/>
  <c r="Z15" i="17"/>
  <c r="AW15" i="17"/>
  <c r="AD15" i="17"/>
  <c r="BA15" i="17"/>
  <c r="BV15" i="17"/>
  <c r="Z16" i="17"/>
  <c r="AW16" i="17"/>
  <c r="AD16" i="17"/>
  <c r="BA16" i="17"/>
  <c r="BV16" i="17"/>
  <c r="Z17" i="17"/>
  <c r="AW17" i="17"/>
  <c r="AD17" i="17"/>
  <c r="BA17" i="17"/>
  <c r="BV17" i="17"/>
  <c r="Z18" i="17"/>
  <c r="AW18" i="17"/>
  <c r="AD18" i="17"/>
  <c r="BA18" i="17"/>
  <c r="BV18" i="17"/>
  <c r="Z19" i="17"/>
  <c r="AW19" i="17"/>
  <c r="AD19" i="17"/>
  <c r="BA19" i="17"/>
  <c r="BV19" i="17"/>
  <c r="Z20" i="17"/>
  <c r="AW20" i="17"/>
  <c r="AD20" i="17"/>
  <c r="BA20" i="17"/>
  <c r="BV20" i="17"/>
  <c r="Z4" i="17"/>
  <c r="AW4" i="17"/>
  <c r="AD4" i="17"/>
  <c r="BA4" i="17"/>
  <c r="BV4" i="17"/>
  <c r="F7" i="28"/>
  <c r="CB4" i="17"/>
  <c r="CB5" i="17"/>
  <c r="CB6" i="17"/>
  <c r="CB7" i="17"/>
  <c r="CB8" i="17"/>
  <c r="CB9" i="17"/>
  <c r="CB10" i="17"/>
  <c r="CB11" i="17"/>
  <c r="CB12" i="17"/>
  <c r="CB13" i="17"/>
  <c r="CB14" i="17"/>
  <c r="CB15" i="17"/>
  <c r="CB16" i="17"/>
  <c r="CB17" i="17"/>
  <c r="CB18" i="17"/>
  <c r="CB19" i="17"/>
  <c r="CB20" i="17"/>
  <c r="BP5" i="17"/>
  <c r="BP6" i="17"/>
  <c r="BP7" i="17"/>
  <c r="BP8" i="17"/>
  <c r="BP9" i="17"/>
  <c r="BP10" i="17"/>
  <c r="BP11" i="17"/>
  <c r="BP12" i="17"/>
  <c r="BP13" i="17"/>
  <c r="BP14" i="17"/>
  <c r="BP15" i="17"/>
  <c r="BP16" i="17"/>
  <c r="BP17" i="17"/>
  <c r="BP18" i="17"/>
  <c r="BP19" i="17"/>
  <c r="BP20" i="17"/>
  <c r="BP4" i="17"/>
  <c r="F6" i="28"/>
  <c r="AH4" i="17"/>
  <c r="BE4" i="17"/>
  <c r="AN4" i="17"/>
  <c r="BI4" i="17"/>
  <c r="P3" i="17"/>
  <c r="T3" i="17"/>
  <c r="CG4" i="17"/>
  <c r="AH5" i="17"/>
  <c r="BE5" i="17"/>
  <c r="AN5" i="17"/>
  <c r="BI5" i="17"/>
  <c r="P4" i="17"/>
  <c r="T4" i="17"/>
  <c r="CG5" i="17"/>
  <c r="AH6" i="17"/>
  <c r="BE6" i="17"/>
  <c r="AN6" i="17"/>
  <c r="BI6" i="17"/>
  <c r="P5" i="17"/>
  <c r="T5" i="17"/>
  <c r="CG6" i="17"/>
  <c r="AH7" i="17"/>
  <c r="BE7" i="17"/>
  <c r="AN7" i="17"/>
  <c r="BI7" i="17"/>
  <c r="P6" i="17"/>
  <c r="T6" i="17"/>
  <c r="CG7" i="17"/>
  <c r="AH8" i="17"/>
  <c r="BE8" i="17"/>
  <c r="AN8" i="17"/>
  <c r="BI8" i="17"/>
  <c r="P7" i="17"/>
  <c r="T7" i="17"/>
  <c r="CG8" i="17"/>
  <c r="AH9" i="17"/>
  <c r="BE9" i="17"/>
  <c r="AN9" i="17"/>
  <c r="BI9" i="17"/>
  <c r="P8" i="17"/>
  <c r="T8" i="17"/>
  <c r="CG9" i="17"/>
  <c r="AH10" i="17"/>
  <c r="BE10" i="17"/>
  <c r="AN10" i="17"/>
  <c r="BI10" i="17"/>
  <c r="P9" i="17"/>
  <c r="T9" i="17"/>
  <c r="CG10" i="17"/>
  <c r="AH11" i="17"/>
  <c r="BE11" i="17"/>
  <c r="AN11" i="17"/>
  <c r="BI11" i="17"/>
  <c r="P10" i="17"/>
  <c r="T10" i="17"/>
  <c r="CG11" i="17"/>
  <c r="AH12" i="17"/>
  <c r="BE12" i="17"/>
  <c r="AN12" i="17"/>
  <c r="BI12" i="17"/>
  <c r="P11" i="17"/>
  <c r="T11" i="17"/>
  <c r="CG12" i="17"/>
  <c r="AH13" i="17"/>
  <c r="BE13" i="17"/>
  <c r="AN13" i="17"/>
  <c r="BI13" i="17"/>
  <c r="P12" i="17"/>
  <c r="T12" i="17"/>
  <c r="CG13" i="17"/>
  <c r="AH14" i="17"/>
  <c r="BE14" i="17"/>
  <c r="AN14" i="17"/>
  <c r="BI14" i="17"/>
  <c r="P13" i="17"/>
  <c r="T13" i="17"/>
  <c r="CG14" i="17"/>
  <c r="AH15" i="17"/>
  <c r="BE15" i="17"/>
  <c r="AN15" i="17"/>
  <c r="BI15" i="17"/>
  <c r="P14" i="17"/>
  <c r="T14" i="17"/>
  <c r="CG15" i="17"/>
  <c r="AH16" i="17"/>
  <c r="BE16" i="17"/>
  <c r="AN16" i="17"/>
  <c r="BI16" i="17"/>
  <c r="P15" i="17"/>
  <c r="T15" i="17"/>
  <c r="CG16" i="17"/>
  <c r="AH17" i="17"/>
  <c r="BE17" i="17"/>
  <c r="AN17" i="17"/>
  <c r="BI17" i="17"/>
  <c r="P16" i="17"/>
  <c r="T16" i="17"/>
  <c r="CG17" i="17"/>
  <c r="AH18" i="17"/>
  <c r="BE18" i="17"/>
  <c r="AN18" i="17"/>
  <c r="BI18" i="17"/>
  <c r="P17" i="17"/>
  <c r="T17" i="17"/>
  <c r="CG18" i="17"/>
  <c r="AH19" i="17"/>
  <c r="BE19" i="17"/>
  <c r="AN19" i="17"/>
  <c r="BI19" i="17"/>
  <c r="P18" i="17"/>
  <c r="T18" i="17"/>
  <c r="CG19" i="17"/>
  <c r="AH20" i="17"/>
  <c r="BE20" i="17"/>
  <c r="AN20" i="17"/>
  <c r="BI20" i="17"/>
  <c r="P19" i="17"/>
  <c r="T19" i="17"/>
  <c r="CG20" i="17"/>
  <c r="Y5" i="17"/>
  <c r="AV5" i="17"/>
  <c r="AC5" i="17"/>
  <c r="AZ5" i="17"/>
  <c r="BU5" i="17"/>
  <c r="Y6" i="17"/>
  <c r="AV6" i="17"/>
  <c r="AC6" i="17"/>
  <c r="AZ6" i="17"/>
  <c r="BU6" i="17"/>
  <c r="Y7" i="17"/>
  <c r="AV7" i="17"/>
  <c r="AC7" i="17"/>
  <c r="AZ7" i="17"/>
  <c r="BU7" i="17"/>
  <c r="Y8" i="17"/>
  <c r="AV8" i="17"/>
  <c r="AC8" i="17"/>
  <c r="AZ8" i="17"/>
  <c r="BU8" i="17"/>
  <c r="Y9" i="17"/>
  <c r="AV9" i="17"/>
  <c r="AC9" i="17"/>
  <c r="AZ9" i="17"/>
  <c r="BU9" i="17"/>
  <c r="Y10" i="17"/>
  <c r="AV10" i="17"/>
  <c r="AC10" i="17"/>
  <c r="AZ10" i="17"/>
  <c r="BU10" i="17"/>
  <c r="Y11" i="17"/>
  <c r="AV11" i="17"/>
  <c r="AC11" i="17"/>
  <c r="AZ11" i="17"/>
  <c r="BU11" i="17"/>
  <c r="Y12" i="17"/>
  <c r="AV12" i="17"/>
  <c r="AC12" i="17"/>
  <c r="AZ12" i="17"/>
  <c r="BU12" i="17"/>
  <c r="Y13" i="17"/>
  <c r="AV13" i="17"/>
  <c r="AC13" i="17"/>
  <c r="AZ13" i="17"/>
  <c r="BU13" i="17"/>
  <c r="Y14" i="17"/>
  <c r="AV14" i="17"/>
  <c r="AC14" i="17"/>
  <c r="AZ14" i="17"/>
  <c r="BU14" i="17"/>
  <c r="Y15" i="17"/>
  <c r="AV15" i="17"/>
  <c r="AC15" i="17"/>
  <c r="AZ15" i="17"/>
  <c r="BU15" i="17"/>
  <c r="Y16" i="17"/>
  <c r="AV16" i="17"/>
  <c r="AC16" i="17"/>
  <c r="AZ16" i="17"/>
  <c r="BU16" i="17"/>
  <c r="Y17" i="17"/>
  <c r="AV17" i="17"/>
  <c r="AC17" i="17"/>
  <c r="AZ17" i="17"/>
  <c r="BU17" i="17"/>
  <c r="Y18" i="17"/>
  <c r="AV18" i="17"/>
  <c r="AC18" i="17"/>
  <c r="AZ18" i="17"/>
  <c r="BU18" i="17"/>
  <c r="Y19" i="17"/>
  <c r="AV19" i="17"/>
  <c r="AC19" i="17"/>
  <c r="AZ19" i="17"/>
  <c r="BU19" i="17"/>
  <c r="Y20" i="17"/>
  <c r="AV20" i="17"/>
  <c r="AC20" i="17"/>
  <c r="AZ20" i="17"/>
  <c r="BU20" i="17"/>
  <c r="Y4" i="17"/>
  <c r="AV4" i="17"/>
  <c r="AC4" i="17"/>
  <c r="AZ4" i="17"/>
  <c r="BU4" i="17"/>
  <c r="E7" i="28"/>
  <c r="CA4" i="17"/>
  <c r="CA5" i="17"/>
  <c r="CA6" i="17"/>
  <c r="CA7" i="17"/>
  <c r="CA8" i="17"/>
  <c r="CA9" i="17"/>
  <c r="CA10" i="17"/>
  <c r="CA11" i="17"/>
  <c r="CA12" i="17"/>
  <c r="CA13" i="17"/>
  <c r="CA14" i="17"/>
  <c r="CA15" i="17"/>
  <c r="CA16" i="17"/>
  <c r="CA17" i="17"/>
  <c r="CA18" i="17"/>
  <c r="CA19" i="17"/>
  <c r="CA20" i="17"/>
  <c r="BO5" i="17"/>
  <c r="BO6" i="17"/>
  <c r="BO7" i="17"/>
  <c r="BO8" i="17"/>
  <c r="BO9" i="17"/>
  <c r="BO10" i="17"/>
  <c r="BO11" i="17"/>
  <c r="BO12" i="17"/>
  <c r="BO13" i="17"/>
  <c r="BO14" i="17"/>
  <c r="BO15" i="17"/>
  <c r="BO16" i="17"/>
  <c r="BO17" i="17"/>
  <c r="BO18" i="17"/>
  <c r="BO19" i="17"/>
  <c r="BO20" i="17"/>
  <c r="BO4" i="17"/>
  <c r="E6" i="28"/>
  <c r="AG4" i="17"/>
  <c r="BD4" i="17"/>
  <c r="AM4" i="17"/>
  <c r="BH4" i="17"/>
  <c r="O3" i="17"/>
  <c r="S3" i="17"/>
  <c r="CF4" i="17"/>
  <c r="AG5" i="17"/>
  <c r="BD5" i="17"/>
  <c r="AM5" i="17"/>
  <c r="BH5" i="17"/>
  <c r="O4" i="17"/>
  <c r="S4" i="17"/>
  <c r="CF5" i="17"/>
  <c r="AG6" i="17"/>
  <c r="BD6" i="17"/>
  <c r="AM6" i="17"/>
  <c r="BH6" i="17"/>
  <c r="O5" i="17"/>
  <c r="S5" i="17"/>
  <c r="CF6" i="17"/>
  <c r="AG7" i="17"/>
  <c r="BD7" i="17"/>
  <c r="AM7" i="17"/>
  <c r="BH7" i="17"/>
  <c r="O6" i="17"/>
  <c r="S6" i="17"/>
  <c r="CF7" i="17"/>
  <c r="AG8" i="17"/>
  <c r="BD8" i="17"/>
  <c r="AM8" i="17"/>
  <c r="BH8" i="17"/>
  <c r="O7" i="17"/>
  <c r="S7" i="17"/>
  <c r="CF8" i="17"/>
  <c r="AG9" i="17"/>
  <c r="BD9" i="17"/>
  <c r="AM9" i="17"/>
  <c r="BH9" i="17"/>
  <c r="O8" i="17"/>
  <c r="S8" i="17"/>
  <c r="CF9" i="17"/>
  <c r="AG10" i="17"/>
  <c r="BD10" i="17"/>
  <c r="AM10" i="17"/>
  <c r="BH10" i="17"/>
  <c r="O9" i="17"/>
  <c r="S9" i="17"/>
  <c r="CF10" i="17"/>
  <c r="AG11" i="17"/>
  <c r="BD11" i="17"/>
  <c r="AM11" i="17"/>
  <c r="BH11" i="17"/>
  <c r="O10" i="17"/>
  <c r="S10" i="17"/>
  <c r="CF11" i="17"/>
  <c r="AG12" i="17"/>
  <c r="BD12" i="17"/>
  <c r="AM12" i="17"/>
  <c r="BH12" i="17"/>
  <c r="O11" i="17"/>
  <c r="S11" i="17"/>
  <c r="CF12" i="17"/>
  <c r="AG13" i="17"/>
  <c r="BD13" i="17"/>
  <c r="AM13" i="17"/>
  <c r="BH13" i="17"/>
  <c r="O12" i="17"/>
  <c r="S12" i="17"/>
  <c r="CF13" i="17"/>
  <c r="AG14" i="17"/>
  <c r="BD14" i="17"/>
  <c r="AM14" i="17"/>
  <c r="BH14" i="17"/>
  <c r="O13" i="17"/>
  <c r="S13" i="17"/>
  <c r="CF14" i="17"/>
  <c r="AG15" i="17"/>
  <c r="BD15" i="17"/>
  <c r="AM15" i="17"/>
  <c r="BH15" i="17"/>
  <c r="O14" i="17"/>
  <c r="S14" i="17"/>
  <c r="CF15" i="17"/>
  <c r="AG16" i="17"/>
  <c r="BD16" i="17"/>
  <c r="AM16" i="17"/>
  <c r="BH16" i="17"/>
  <c r="O15" i="17"/>
  <c r="S15" i="17"/>
  <c r="CF16" i="17"/>
  <c r="AG17" i="17"/>
  <c r="BD17" i="17"/>
  <c r="AM17" i="17"/>
  <c r="BH17" i="17"/>
  <c r="O16" i="17"/>
  <c r="S16" i="17"/>
  <c r="CF17" i="17"/>
  <c r="AG18" i="17"/>
  <c r="BD18" i="17"/>
  <c r="AM18" i="17"/>
  <c r="BH18" i="17"/>
  <c r="O17" i="17"/>
  <c r="S17" i="17"/>
  <c r="CF18" i="17"/>
  <c r="AG19" i="17"/>
  <c r="BD19" i="17"/>
  <c r="AM19" i="17"/>
  <c r="BH19" i="17"/>
  <c r="O18" i="17"/>
  <c r="S18" i="17"/>
  <c r="CF19" i="17"/>
  <c r="AG20" i="17"/>
  <c r="BD20" i="17"/>
  <c r="AM20" i="17"/>
  <c r="BH20" i="17"/>
  <c r="O19" i="17"/>
  <c r="S19" i="17"/>
  <c r="CF20" i="17"/>
  <c r="X4" i="17"/>
  <c r="AU4" i="17"/>
  <c r="AB4" i="17"/>
  <c r="AY4" i="17"/>
  <c r="BT4" i="17"/>
  <c r="X5" i="17"/>
  <c r="AU5" i="17"/>
  <c r="AB5" i="17"/>
  <c r="AY5" i="17"/>
  <c r="BT5" i="17"/>
  <c r="X6" i="17"/>
  <c r="AU6" i="17"/>
  <c r="AB6" i="17"/>
  <c r="AY6" i="17"/>
  <c r="BT6" i="17"/>
  <c r="X7" i="17"/>
  <c r="AU7" i="17"/>
  <c r="AB7" i="17"/>
  <c r="AY7" i="17"/>
  <c r="BT7" i="17"/>
  <c r="X8" i="17"/>
  <c r="AU8" i="17"/>
  <c r="AB8" i="17"/>
  <c r="AY8" i="17"/>
  <c r="BT8" i="17"/>
  <c r="X9" i="17"/>
  <c r="AU9" i="17"/>
  <c r="AB9" i="17"/>
  <c r="AY9" i="17"/>
  <c r="BT9" i="17"/>
  <c r="X10" i="17"/>
  <c r="AU10" i="17"/>
  <c r="AB10" i="17"/>
  <c r="AY10" i="17"/>
  <c r="BT10" i="17"/>
  <c r="X11" i="17"/>
  <c r="AU11" i="17"/>
  <c r="AB11" i="17"/>
  <c r="AY11" i="17"/>
  <c r="BT11" i="17"/>
  <c r="X12" i="17"/>
  <c r="AU12" i="17"/>
  <c r="AB12" i="17"/>
  <c r="AY12" i="17"/>
  <c r="BT12" i="17"/>
  <c r="X13" i="17"/>
  <c r="AU13" i="17"/>
  <c r="AB13" i="17"/>
  <c r="AY13" i="17"/>
  <c r="BT13" i="17"/>
  <c r="X14" i="17"/>
  <c r="AU14" i="17"/>
  <c r="AB14" i="17"/>
  <c r="AY14" i="17"/>
  <c r="BT14" i="17"/>
  <c r="X15" i="17"/>
  <c r="AU15" i="17"/>
  <c r="AB15" i="17"/>
  <c r="AY15" i="17"/>
  <c r="BT15" i="17"/>
  <c r="X16" i="17"/>
  <c r="AU16" i="17"/>
  <c r="AB16" i="17"/>
  <c r="AY16" i="17"/>
  <c r="BT16" i="17"/>
  <c r="X17" i="17"/>
  <c r="AU17" i="17"/>
  <c r="AB17" i="17"/>
  <c r="AY17" i="17"/>
  <c r="BT17" i="17"/>
  <c r="X18" i="17"/>
  <c r="AU18" i="17"/>
  <c r="AB18" i="17"/>
  <c r="AY18" i="17"/>
  <c r="BT18" i="17"/>
  <c r="X19" i="17"/>
  <c r="AU19" i="17"/>
  <c r="AB19" i="17"/>
  <c r="AY19" i="17"/>
  <c r="BT19" i="17"/>
  <c r="X20" i="17"/>
  <c r="AU20" i="17"/>
  <c r="AB20" i="17"/>
  <c r="AY20" i="17"/>
  <c r="BT20" i="17"/>
  <c r="D7" i="28"/>
  <c r="BZ4" i="17"/>
  <c r="BZ5" i="17"/>
  <c r="BZ6" i="17"/>
  <c r="BZ7" i="17"/>
  <c r="BZ8" i="17"/>
  <c r="BZ9" i="17"/>
  <c r="BZ10" i="17"/>
  <c r="BZ11" i="17"/>
  <c r="BZ12" i="17"/>
  <c r="BZ13" i="17"/>
  <c r="BZ14" i="17"/>
  <c r="BZ15" i="17"/>
  <c r="BZ16" i="17"/>
  <c r="BZ17" i="17"/>
  <c r="BZ18" i="17"/>
  <c r="BZ19" i="17"/>
  <c r="BZ20" i="17"/>
  <c r="BN4" i="17"/>
  <c r="BN5" i="17"/>
  <c r="BN6" i="17"/>
  <c r="BN7" i="17"/>
  <c r="BN8" i="17"/>
  <c r="BN9" i="17"/>
  <c r="BN10" i="17"/>
  <c r="BN11" i="17"/>
  <c r="BN12" i="17"/>
  <c r="BN13" i="17"/>
  <c r="BN14" i="17"/>
  <c r="BN15" i="17"/>
  <c r="BN16" i="17"/>
  <c r="BN17" i="17"/>
  <c r="BN18" i="17"/>
  <c r="BN19" i="17"/>
  <c r="BN20" i="17"/>
  <c r="D6" i="28"/>
  <c r="CE4" i="17"/>
  <c r="CE5" i="17"/>
  <c r="CE6" i="17"/>
  <c r="CE7" i="17"/>
  <c r="CE8" i="17"/>
  <c r="CE9" i="17"/>
  <c r="CE10" i="17"/>
  <c r="CE11" i="17"/>
  <c r="CE12" i="17"/>
  <c r="CE13" i="17"/>
  <c r="CE14" i="17"/>
  <c r="CE15" i="17"/>
  <c r="CE16" i="17"/>
  <c r="CE17" i="17"/>
  <c r="CE18" i="17"/>
  <c r="CE19" i="17"/>
  <c r="BS4" i="17"/>
  <c r="BS5" i="17"/>
  <c r="BS6" i="17"/>
  <c r="BS7" i="17"/>
  <c r="BS8" i="17"/>
  <c r="BS9" i="17"/>
  <c r="BS10" i="17"/>
  <c r="BS11" i="17"/>
  <c r="BS12" i="17"/>
  <c r="BS13" i="17"/>
  <c r="BS14" i="17"/>
  <c r="BS15" i="17"/>
  <c r="BS16" i="17"/>
  <c r="BS17" i="17"/>
  <c r="BS18" i="17"/>
  <c r="BS19" i="17"/>
  <c r="BS20" i="17"/>
  <c r="C7" i="28"/>
  <c r="BY4" i="17"/>
  <c r="BY5" i="17"/>
  <c r="BY6" i="17"/>
  <c r="BY7" i="17"/>
  <c r="BY8" i="17"/>
  <c r="BY9" i="17"/>
  <c r="BY10" i="17"/>
  <c r="BY11" i="17"/>
  <c r="BY12" i="17"/>
  <c r="BY13" i="17"/>
  <c r="BY14" i="17"/>
  <c r="BY15" i="17"/>
  <c r="BY16" i="17"/>
  <c r="BY17" i="17"/>
  <c r="BY18" i="17"/>
  <c r="BY19" i="17"/>
  <c r="BY20" i="17"/>
  <c r="BM4" i="17"/>
  <c r="BM5" i="17"/>
  <c r="BM6" i="17"/>
  <c r="BM7" i="17"/>
  <c r="BM8" i="17"/>
  <c r="BM9" i="17"/>
  <c r="BM10" i="17"/>
  <c r="BM11" i="17"/>
  <c r="BM12" i="17"/>
  <c r="BM13" i="17"/>
  <c r="BM14" i="17"/>
  <c r="BM15" i="17"/>
  <c r="BM16" i="17"/>
  <c r="BM17" i="17"/>
  <c r="BM18" i="17"/>
  <c r="BM19" i="17"/>
  <c r="BM20" i="17"/>
  <c r="C6" i="28"/>
  <c r="D20" i="11"/>
  <c r="E20" i="11"/>
  <c r="F20" i="11"/>
  <c r="F46" i="20"/>
  <c r="E46" i="20"/>
  <c r="F45" i="20"/>
  <c r="E45" i="20"/>
  <c r="F44" i="20"/>
  <c r="E44" i="20"/>
  <c r="F43" i="20"/>
  <c r="E43" i="20"/>
  <c r="F42" i="20"/>
  <c r="E42" i="20"/>
  <c r="F41" i="20"/>
  <c r="E41" i="20"/>
  <c r="F40" i="20"/>
  <c r="E40" i="20"/>
  <c r="F39" i="20"/>
  <c r="E39" i="20"/>
  <c r="F38" i="20"/>
  <c r="E38" i="20"/>
  <c r="F37" i="20"/>
  <c r="E37" i="20"/>
  <c r="F36" i="20"/>
  <c r="E36" i="20"/>
  <c r="F35" i="20"/>
  <c r="E35" i="20"/>
  <c r="F34" i="20"/>
  <c r="E34" i="20"/>
  <c r="F33" i="20"/>
  <c r="E33" i="20"/>
  <c r="F32" i="20"/>
  <c r="E32" i="20"/>
  <c r="F31" i="20"/>
  <c r="E31" i="20"/>
  <c r="F30" i="20"/>
  <c r="E30" i="20"/>
  <c r="F29" i="20"/>
  <c r="E29" i="20"/>
  <c r="F28" i="20"/>
  <c r="E28" i="20"/>
  <c r="F27" i="20"/>
  <c r="E27" i="20"/>
  <c r="F26" i="20"/>
  <c r="E26" i="20"/>
  <c r="F25" i="20"/>
  <c r="E25" i="20"/>
  <c r="F24" i="20"/>
  <c r="E24" i="20"/>
  <c r="F23" i="20"/>
  <c r="E23" i="20"/>
  <c r="F22" i="20"/>
  <c r="E22" i="20"/>
  <c r="F21" i="20"/>
  <c r="E21" i="20"/>
  <c r="F20" i="20"/>
  <c r="E20" i="20"/>
  <c r="F19" i="20"/>
  <c r="E19" i="20"/>
  <c r="F18" i="20"/>
  <c r="E18" i="20"/>
  <c r="F17" i="20"/>
  <c r="E17" i="20"/>
  <c r="F16" i="20"/>
  <c r="E16" i="20"/>
  <c r="F15" i="20"/>
  <c r="E15" i="20"/>
  <c r="F14" i="20"/>
  <c r="E14" i="20"/>
  <c r="F13" i="20"/>
  <c r="E13" i="20"/>
  <c r="F12" i="20"/>
  <c r="E12" i="20"/>
  <c r="F11" i="20"/>
  <c r="E11" i="20"/>
  <c r="F10" i="20"/>
  <c r="E10" i="20"/>
  <c r="F9" i="20"/>
  <c r="E9" i="20"/>
  <c r="F8" i="20"/>
  <c r="E8" i="20"/>
  <c r="F7" i="20"/>
  <c r="E7" i="20"/>
  <c r="F6" i="20"/>
  <c r="E6" i="20"/>
  <c r="F5" i="20"/>
  <c r="E5" i="20"/>
  <c r="F4" i="20"/>
  <c r="E4" i="20"/>
  <c r="M20" i="17"/>
  <c r="L20" i="17"/>
  <c r="K20" i="17"/>
  <c r="J20" i="17"/>
  <c r="H20" i="17"/>
  <c r="G20" i="17"/>
  <c r="E20" i="17"/>
  <c r="D20" i="17"/>
  <c r="C20" i="17"/>
  <c r="B20" i="17"/>
  <c r="GB5" i="8"/>
  <c r="GM5" i="8"/>
  <c r="GH5" i="8"/>
  <c r="GS5" i="8"/>
  <c r="GY5" i="8"/>
  <c r="GZ5" i="8"/>
  <c r="HA5" i="8"/>
  <c r="HB5" i="8"/>
  <c r="HC5" i="8"/>
  <c r="GB6" i="8"/>
  <c r="GM6" i="8"/>
  <c r="GH6" i="8"/>
  <c r="GS6" i="8"/>
  <c r="GY6" i="8"/>
  <c r="GZ6" i="8"/>
  <c r="HA6" i="8"/>
  <c r="HB6" i="8"/>
  <c r="HC6" i="8"/>
  <c r="GB7" i="8"/>
  <c r="GM7" i="8"/>
  <c r="GH7" i="8"/>
  <c r="GS7" i="8"/>
  <c r="GY7" i="8"/>
  <c r="GZ7" i="8"/>
  <c r="HA7" i="8"/>
  <c r="HB7" i="8"/>
  <c r="HC7" i="8"/>
  <c r="GB8" i="8"/>
  <c r="GM8" i="8"/>
  <c r="GH8" i="8"/>
  <c r="GS8" i="8"/>
  <c r="GY8" i="8"/>
  <c r="GZ8" i="8"/>
  <c r="HA8" i="8"/>
  <c r="HB8" i="8"/>
  <c r="HC8" i="8"/>
  <c r="GB9" i="8"/>
  <c r="GM9" i="8"/>
  <c r="GH9" i="8"/>
  <c r="GS9" i="8"/>
  <c r="GY9" i="8"/>
  <c r="GZ9" i="8"/>
  <c r="HA9" i="8"/>
  <c r="HB9" i="8"/>
  <c r="HC9" i="8"/>
  <c r="GB10" i="8"/>
  <c r="GM10" i="8"/>
  <c r="GH10" i="8"/>
  <c r="GS10" i="8"/>
  <c r="GY10" i="8"/>
  <c r="GZ10" i="8"/>
  <c r="HA10" i="8"/>
  <c r="HB10" i="8"/>
  <c r="HC10" i="8"/>
  <c r="GB11" i="8"/>
  <c r="GM11" i="8"/>
  <c r="GH11" i="8"/>
  <c r="GS11" i="8"/>
  <c r="GY11" i="8"/>
  <c r="GZ11" i="8"/>
  <c r="HA11" i="8"/>
  <c r="HB11" i="8"/>
  <c r="HC11" i="8"/>
  <c r="GB12" i="8"/>
  <c r="GM12" i="8"/>
  <c r="GH12" i="8"/>
  <c r="GS12" i="8"/>
  <c r="GY12" i="8"/>
  <c r="GZ12" i="8"/>
  <c r="HA12" i="8"/>
  <c r="HB12" i="8"/>
  <c r="HC12" i="8"/>
  <c r="GB13" i="8"/>
  <c r="GM13" i="8"/>
  <c r="GH13" i="8"/>
  <c r="GS13" i="8"/>
  <c r="GY13" i="8"/>
  <c r="GZ13" i="8"/>
  <c r="HA13" i="8"/>
  <c r="HB13" i="8"/>
  <c r="HC13" i="8"/>
  <c r="GB14" i="8"/>
  <c r="GM14" i="8"/>
  <c r="GH14" i="8"/>
  <c r="GS14" i="8"/>
  <c r="GY14" i="8"/>
  <c r="GZ14" i="8"/>
  <c r="HA14" i="8"/>
  <c r="HB14" i="8"/>
  <c r="HC14" i="8"/>
  <c r="GB15" i="8"/>
  <c r="GM15" i="8"/>
  <c r="GH15" i="8"/>
  <c r="GS15" i="8"/>
  <c r="GY15" i="8"/>
  <c r="GZ15" i="8"/>
  <c r="HA15" i="8"/>
  <c r="HB15" i="8"/>
  <c r="HC15" i="8"/>
  <c r="GB4" i="8"/>
  <c r="GM4" i="8"/>
  <c r="GH4" i="8"/>
  <c r="GG5" i="8"/>
  <c r="GG6" i="8"/>
  <c r="GG7" i="8"/>
  <c r="GG8" i="8"/>
  <c r="GG9" i="8"/>
  <c r="GG10" i="8"/>
  <c r="GG11" i="8"/>
  <c r="GG12" i="8"/>
  <c r="GG13" i="8"/>
  <c r="GG14" i="8"/>
  <c r="GG15" i="8"/>
  <c r="BT5" i="8"/>
  <c r="BU5" i="8"/>
  <c r="BV5" i="8"/>
  <c r="BW5" i="8"/>
  <c r="FD5" i="8"/>
  <c r="EY5" i="8"/>
  <c r="FJ5" i="8"/>
  <c r="BY5" i="8"/>
  <c r="BZ5" i="8"/>
  <c r="CA5" i="8"/>
  <c r="CB5" i="8"/>
  <c r="FE5" i="8"/>
  <c r="FP5" i="8"/>
  <c r="FV5" i="8"/>
  <c r="FW5" i="8"/>
  <c r="FX5" i="8"/>
  <c r="FY5" i="8"/>
  <c r="FZ5" i="8"/>
  <c r="BT6" i="8"/>
  <c r="BU6" i="8"/>
  <c r="BV6" i="8"/>
  <c r="BW6" i="8"/>
  <c r="FD6" i="8"/>
  <c r="EY6" i="8"/>
  <c r="FJ6" i="8"/>
  <c r="BY6" i="8"/>
  <c r="BZ6" i="8"/>
  <c r="CA6" i="8"/>
  <c r="CB6" i="8"/>
  <c r="FE6" i="8"/>
  <c r="FP6" i="8"/>
  <c r="FV6" i="8"/>
  <c r="FW6" i="8"/>
  <c r="FX6" i="8"/>
  <c r="FY6" i="8"/>
  <c r="FZ6" i="8"/>
  <c r="BT7" i="8"/>
  <c r="BU7" i="8"/>
  <c r="BV7" i="8"/>
  <c r="BW7" i="8"/>
  <c r="FD7" i="8"/>
  <c r="EY7" i="8"/>
  <c r="FJ7" i="8"/>
  <c r="BY7" i="8"/>
  <c r="BZ7" i="8"/>
  <c r="CA7" i="8"/>
  <c r="CB7" i="8"/>
  <c r="FE7" i="8"/>
  <c r="FP7" i="8"/>
  <c r="FV7" i="8"/>
  <c r="FW7" i="8"/>
  <c r="FX7" i="8"/>
  <c r="FY7" i="8"/>
  <c r="FZ7" i="8"/>
  <c r="BT8" i="8"/>
  <c r="BU8" i="8"/>
  <c r="BV8" i="8"/>
  <c r="BW8" i="8"/>
  <c r="FD8" i="8"/>
  <c r="EY8" i="8"/>
  <c r="FJ8" i="8"/>
  <c r="BY8" i="8"/>
  <c r="BZ8" i="8"/>
  <c r="CA8" i="8"/>
  <c r="CB8" i="8"/>
  <c r="FE8" i="8"/>
  <c r="FP8" i="8"/>
  <c r="FV8" i="8"/>
  <c r="FW8" i="8"/>
  <c r="FX8" i="8"/>
  <c r="FY8" i="8"/>
  <c r="FZ8" i="8"/>
  <c r="BT9" i="8"/>
  <c r="BU9" i="8"/>
  <c r="BV9" i="8"/>
  <c r="BW9" i="8"/>
  <c r="FD9" i="8"/>
  <c r="EY9" i="8"/>
  <c r="FJ9" i="8"/>
  <c r="BY9" i="8"/>
  <c r="BZ9" i="8"/>
  <c r="CA9" i="8"/>
  <c r="CB9" i="8"/>
  <c r="FE9" i="8"/>
  <c r="FP9" i="8"/>
  <c r="FV9" i="8"/>
  <c r="FW9" i="8"/>
  <c r="FX9" i="8"/>
  <c r="FY9" i="8"/>
  <c r="FZ9" i="8"/>
  <c r="BT10" i="8"/>
  <c r="BU10" i="8"/>
  <c r="BV10" i="8"/>
  <c r="BW10" i="8"/>
  <c r="FD10" i="8"/>
  <c r="EY10" i="8"/>
  <c r="FJ10" i="8"/>
  <c r="BY10" i="8"/>
  <c r="BZ10" i="8"/>
  <c r="CA10" i="8"/>
  <c r="CB10" i="8"/>
  <c r="FE10" i="8"/>
  <c r="FP10" i="8"/>
  <c r="FV10" i="8"/>
  <c r="FW10" i="8"/>
  <c r="FX10" i="8"/>
  <c r="FY10" i="8"/>
  <c r="FZ10" i="8"/>
  <c r="BT11" i="8"/>
  <c r="BU11" i="8"/>
  <c r="BV11" i="8"/>
  <c r="BW11" i="8"/>
  <c r="FD11" i="8"/>
  <c r="EY11" i="8"/>
  <c r="FJ11" i="8"/>
  <c r="BY11" i="8"/>
  <c r="BZ11" i="8"/>
  <c r="CA11" i="8"/>
  <c r="CB11" i="8"/>
  <c r="FE11" i="8"/>
  <c r="FP11" i="8"/>
  <c r="FV11" i="8"/>
  <c r="FW11" i="8"/>
  <c r="FX11" i="8"/>
  <c r="FY11" i="8"/>
  <c r="FZ11" i="8"/>
  <c r="BT12" i="8"/>
  <c r="BU12" i="8"/>
  <c r="BV12" i="8"/>
  <c r="BW12" i="8"/>
  <c r="FD12" i="8"/>
  <c r="EY12" i="8"/>
  <c r="FJ12" i="8"/>
  <c r="BY12" i="8"/>
  <c r="BZ12" i="8"/>
  <c r="CA12" i="8"/>
  <c r="CB12" i="8"/>
  <c r="FE12" i="8"/>
  <c r="FP12" i="8"/>
  <c r="FV12" i="8"/>
  <c r="FW12" i="8"/>
  <c r="FX12" i="8"/>
  <c r="FY12" i="8"/>
  <c r="FZ12" i="8"/>
  <c r="BT13" i="8"/>
  <c r="BU13" i="8"/>
  <c r="BV13" i="8"/>
  <c r="BW13" i="8"/>
  <c r="FD13" i="8"/>
  <c r="EY13" i="8"/>
  <c r="FJ13" i="8"/>
  <c r="BY13" i="8"/>
  <c r="BZ13" i="8"/>
  <c r="CA13" i="8"/>
  <c r="CB13" i="8"/>
  <c r="FE13" i="8"/>
  <c r="FP13" i="8"/>
  <c r="FV13" i="8"/>
  <c r="FW13" i="8"/>
  <c r="FX13" i="8"/>
  <c r="FY13" i="8"/>
  <c r="FZ13" i="8"/>
  <c r="BT14" i="8"/>
  <c r="BU14" i="8"/>
  <c r="BV14" i="8"/>
  <c r="BW14" i="8"/>
  <c r="FD14" i="8"/>
  <c r="EY14" i="8"/>
  <c r="FJ14" i="8"/>
  <c r="BY14" i="8"/>
  <c r="BZ14" i="8"/>
  <c r="CA14" i="8"/>
  <c r="CB14" i="8"/>
  <c r="FE14" i="8"/>
  <c r="FP14" i="8"/>
  <c r="FV14" i="8"/>
  <c r="FW14" i="8"/>
  <c r="FX14" i="8"/>
  <c r="FY14" i="8"/>
  <c r="FZ14" i="8"/>
  <c r="BT15" i="8"/>
  <c r="BU15" i="8"/>
  <c r="BV15" i="8"/>
  <c r="BW15" i="8"/>
  <c r="FD15" i="8"/>
  <c r="EY15" i="8"/>
  <c r="FJ15" i="8"/>
  <c r="BY15" i="8"/>
  <c r="BZ15" i="8"/>
  <c r="CA15" i="8"/>
  <c r="CB15" i="8"/>
  <c r="FE15" i="8"/>
  <c r="FP15" i="8"/>
  <c r="FV15" i="8"/>
  <c r="FW15" i="8"/>
  <c r="FX15" i="8"/>
  <c r="FY15" i="8"/>
  <c r="FZ15" i="8"/>
  <c r="BY4" i="8"/>
  <c r="BZ4" i="8"/>
  <c r="CA4" i="8"/>
  <c r="CB4" i="8"/>
  <c r="FE4" i="8"/>
  <c r="DX5" i="8"/>
  <c r="DY5" i="8"/>
  <c r="DZ5" i="8"/>
  <c r="EA5" i="8"/>
  <c r="EC5" i="8"/>
  <c r="ED5" i="8"/>
  <c r="EE5" i="8"/>
  <c r="EF5" i="8"/>
  <c r="EB5" i="8"/>
  <c r="DX6" i="8"/>
  <c r="DY6" i="8"/>
  <c r="DZ6" i="8"/>
  <c r="EA6" i="8"/>
  <c r="EC6" i="8"/>
  <c r="ED6" i="8"/>
  <c r="EE6" i="8"/>
  <c r="EF6" i="8"/>
  <c r="EB6" i="8"/>
  <c r="DX7" i="8"/>
  <c r="DY7" i="8"/>
  <c r="DZ7" i="8"/>
  <c r="EA7" i="8"/>
  <c r="EC7" i="8"/>
  <c r="ED7" i="8"/>
  <c r="EE7" i="8"/>
  <c r="EF7" i="8"/>
  <c r="EB7" i="8"/>
  <c r="DX8" i="8"/>
  <c r="DY8" i="8"/>
  <c r="DZ8" i="8"/>
  <c r="EA8" i="8"/>
  <c r="EC8" i="8"/>
  <c r="ED8" i="8"/>
  <c r="EE8" i="8"/>
  <c r="EF8" i="8"/>
  <c r="EB8" i="8"/>
  <c r="DX9" i="8"/>
  <c r="DY9" i="8"/>
  <c r="DZ9" i="8"/>
  <c r="EA9" i="8"/>
  <c r="EC9" i="8"/>
  <c r="ED9" i="8"/>
  <c r="EE9" i="8"/>
  <c r="EF9" i="8"/>
  <c r="EB9" i="8"/>
  <c r="DX10" i="8"/>
  <c r="DY10" i="8"/>
  <c r="DZ10" i="8"/>
  <c r="EA10" i="8"/>
  <c r="EC10" i="8"/>
  <c r="ED10" i="8"/>
  <c r="EE10" i="8"/>
  <c r="EF10" i="8"/>
  <c r="EB10" i="8"/>
  <c r="DX11" i="8"/>
  <c r="DY11" i="8"/>
  <c r="DZ11" i="8"/>
  <c r="EA11" i="8"/>
  <c r="EC11" i="8"/>
  <c r="ED11" i="8"/>
  <c r="EE11" i="8"/>
  <c r="EF11" i="8"/>
  <c r="EB11" i="8"/>
  <c r="DX12" i="8"/>
  <c r="DY12" i="8"/>
  <c r="DZ12" i="8"/>
  <c r="EA12" i="8"/>
  <c r="EC12" i="8"/>
  <c r="ED12" i="8"/>
  <c r="EE12" i="8"/>
  <c r="EF12" i="8"/>
  <c r="EB12" i="8"/>
  <c r="DX13" i="8"/>
  <c r="DY13" i="8"/>
  <c r="DZ13" i="8"/>
  <c r="EA13" i="8"/>
  <c r="EC13" i="8"/>
  <c r="ED13" i="8"/>
  <c r="EE13" i="8"/>
  <c r="EF13" i="8"/>
  <c r="EB13" i="8"/>
  <c r="DX14" i="8"/>
  <c r="DY14" i="8"/>
  <c r="DZ14" i="8"/>
  <c r="EA14" i="8"/>
  <c r="EC14" i="8"/>
  <c r="ED14" i="8"/>
  <c r="EE14" i="8"/>
  <c r="EF14" i="8"/>
  <c r="EB14" i="8"/>
  <c r="DX15" i="8"/>
  <c r="DY15" i="8"/>
  <c r="DZ15" i="8"/>
  <c r="EA15" i="8"/>
  <c r="EC15" i="8"/>
  <c r="ED15" i="8"/>
  <c r="EE15" i="8"/>
  <c r="EF15" i="8"/>
  <c r="EB15" i="8"/>
  <c r="EC4" i="8"/>
  <c r="ED4" i="8"/>
  <c r="EE4" i="8"/>
  <c r="EF4" i="8"/>
  <c r="EB4" i="8"/>
  <c r="DX4" i="8"/>
  <c r="DY4" i="8"/>
  <c r="DZ4" i="8"/>
  <c r="EA4" i="8"/>
  <c r="BR5" i="8"/>
  <c r="CC5" i="8"/>
  <c r="BX5" i="8"/>
  <c r="CI5" i="8"/>
  <c r="CO5" i="8"/>
  <c r="CP5" i="8"/>
  <c r="CQ5" i="8"/>
  <c r="CR5" i="8"/>
  <c r="CS5" i="8"/>
  <c r="BR6" i="8"/>
  <c r="CC6" i="8"/>
  <c r="BX6" i="8"/>
  <c r="CI6" i="8"/>
  <c r="CO6" i="8"/>
  <c r="CP6" i="8"/>
  <c r="CQ6" i="8"/>
  <c r="CR6" i="8"/>
  <c r="CS6" i="8"/>
  <c r="BR7" i="8"/>
  <c r="CC7" i="8"/>
  <c r="BX7" i="8"/>
  <c r="CI7" i="8"/>
  <c r="CO7" i="8"/>
  <c r="CP7" i="8"/>
  <c r="CQ7" i="8"/>
  <c r="CR7" i="8"/>
  <c r="CS7" i="8"/>
  <c r="BR8" i="8"/>
  <c r="CC8" i="8"/>
  <c r="BX8" i="8"/>
  <c r="CI8" i="8"/>
  <c r="CO8" i="8"/>
  <c r="CP8" i="8"/>
  <c r="CQ8" i="8"/>
  <c r="CR8" i="8"/>
  <c r="CS8" i="8"/>
  <c r="BR9" i="8"/>
  <c r="CC9" i="8"/>
  <c r="BX9" i="8"/>
  <c r="CI9" i="8"/>
  <c r="CO9" i="8"/>
  <c r="CP9" i="8"/>
  <c r="CQ9" i="8"/>
  <c r="CR9" i="8"/>
  <c r="CS9" i="8"/>
  <c r="BR10" i="8"/>
  <c r="CC10" i="8"/>
  <c r="BX10" i="8"/>
  <c r="CI10" i="8"/>
  <c r="CO10" i="8"/>
  <c r="CP10" i="8"/>
  <c r="CQ10" i="8"/>
  <c r="CR10" i="8"/>
  <c r="CS10" i="8"/>
  <c r="BR11" i="8"/>
  <c r="CC11" i="8"/>
  <c r="BX11" i="8"/>
  <c r="CI11" i="8"/>
  <c r="CO11" i="8"/>
  <c r="CP11" i="8"/>
  <c r="CQ11" i="8"/>
  <c r="CR11" i="8"/>
  <c r="CS11" i="8"/>
  <c r="BR12" i="8"/>
  <c r="CC12" i="8"/>
  <c r="BX12" i="8"/>
  <c r="CI12" i="8"/>
  <c r="CO12" i="8"/>
  <c r="CP12" i="8"/>
  <c r="CQ12" i="8"/>
  <c r="CR12" i="8"/>
  <c r="CS12" i="8"/>
  <c r="BR13" i="8"/>
  <c r="CC13" i="8"/>
  <c r="BX13" i="8"/>
  <c r="CI13" i="8"/>
  <c r="CO13" i="8"/>
  <c r="CP13" i="8"/>
  <c r="CQ13" i="8"/>
  <c r="CR13" i="8"/>
  <c r="CS13" i="8"/>
  <c r="BR14" i="8"/>
  <c r="CC14" i="8"/>
  <c r="BX14" i="8"/>
  <c r="CI14" i="8"/>
  <c r="CO14" i="8"/>
  <c r="CP14" i="8"/>
  <c r="CQ14" i="8"/>
  <c r="CR14" i="8"/>
  <c r="CS14" i="8"/>
  <c r="BR15" i="8"/>
  <c r="CC15" i="8"/>
  <c r="BX15" i="8"/>
  <c r="CO15" i="8"/>
  <c r="CP15" i="8"/>
  <c r="CQ15" i="8"/>
  <c r="CR15" i="8"/>
  <c r="CS15" i="8"/>
  <c r="CH5" i="8"/>
  <c r="CH6" i="8"/>
  <c r="CH7" i="8"/>
  <c r="CH8" i="8"/>
  <c r="CH9" i="8"/>
  <c r="CH10" i="8"/>
  <c r="CH11" i="8"/>
  <c r="CH12" i="8"/>
  <c r="CH13" i="8"/>
  <c r="CH14" i="8"/>
  <c r="CH15" i="8"/>
  <c r="BT4" i="8"/>
  <c r="BU4" i="8"/>
  <c r="BV4" i="8"/>
  <c r="BW4" i="8"/>
  <c r="BR4" i="8"/>
  <c r="BX4" i="8"/>
  <c r="F5" i="7"/>
  <c r="F6" i="7"/>
  <c r="F7" i="7"/>
  <c r="F8" i="7"/>
  <c r="F9" i="7"/>
  <c r="F10" i="7"/>
  <c r="F11" i="7"/>
  <c r="F12" i="7"/>
  <c r="F13" i="7"/>
  <c r="F14" i="7"/>
  <c r="F15" i="7"/>
  <c r="F16" i="7"/>
  <c r="F17" i="7"/>
  <c r="F18" i="7"/>
  <c r="F19" i="7"/>
  <c r="F20" i="7"/>
  <c r="F4" i="7"/>
  <c r="GS4" i="8"/>
  <c r="FP4" i="8"/>
  <c r="GG4" i="8"/>
  <c r="FD4" i="8"/>
  <c r="EY4" i="8"/>
  <c r="FJ4" i="8"/>
  <c r="CI4" i="8"/>
  <c r="CC4" i="8"/>
  <c r="GZ4" i="8"/>
  <c r="HA4" i="8"/>
  <c r="HB4" i="8"/>
  <c r="HC4" i="8"/>
  <c r="GY4" i="8"/>
  <c r="FW4" i="8"/>
  <c r="FX4" i="8"/>
  <c r="FY4" i="8"/>
  <c r="FZ4" i="8"/>
  <c r="FV4" i="8"/>
  <c r="CP4" i="8"/>
  <c r="CQ4" i="8"/>
  <c r="CR4" i="8"/>
  <c r="CS4" i="8"/>
  <c r="CO4" i="8"/>
  <c r="CH4" i="8"/>
  <c r="AF21" i="3"/>
  <c r="AH21" i="3"/>
  <c r="AG21" i="3"/>
  <c r="AI21" i="3"/>
  <c r="AJ21" i="3"/>
  <c r="J4" i="3"/>
  <c r="E4" i="3"/>
  <c r="C12" i="7"/>
  <c r="H12" i="7"/>
  <c r="C13" i="7"/>
  <c r="H13" i="7"/>
  <c r="C14" i="7"/>
  <c r="H14" i="7"/>
  <c r="C15" i="7"/>
  <c r="H15" i="7"/>
  <c r="C16" i="7"/>
  <c r="H16" i="7"/>
  <c r="C17" i="7"/>
  <c r="H17" i="7"/>
  <c r="C18" i="7"/>
  <c r="H18" i="7"/>
  <c r="C19" i="7"/>
  <c r="H19" i="7"/>
  <c r="C20" i="7"/>
  <c r="H20" i="7"/>
  <c r="D12" i="7"/>
  <c r="I12" i="7"/>
  <c r="D13" i="7"/>
  <c r="I13" i="7"/>
  <c r="D14" i="7"/>
  <c r="I14" i="7"/>
  <c r="D15" i="7"/>
  <c r="I15" i="7"/>
  <c r="D16" i="7"/>
  <c r="I16" i="7"/>
  <c r="D17" i="7"/>
  <c r="I17" i="7"/>
  <c r="D18" i="7"/>
  <c r="I18" i="7"/>
  <c r="D19" i="7"/>
  <c r="I19" i="7"/>
  <c r="D20" i="7"/>
  <c r="I20" i="7"/>
  <c r="E12" i="7"/>
  <c r="J12" i="7"/>
  <c r="E13" i="7"/>
  <c r="J13" i="7"/>
  <c r="E14" i="7"/>
  <c r="J14" i="7"/>
  <c r="E15" i="7"/>
  <c r="J15" i="7"/>
  <c r="E16" i="7"/>
  <c r="J16" i="7"/>
  <c r="E17" i="7"/>
  <c r="J17" i="7"/>
  <c r="E18" i="7"/>
  <c r="J18" i="7"/>
  <c r="E19" i="7"/>
  <c r="J19" i="7"/>
  <c r="E20" i="7"/>
  <c r="J20" i="7"/>
  <c r="K12" i="7"/>
  <c r="K13" i="7"/>
  <c r="K14" i="7"/>
  <c r="K15" i="7"/>
  <c r="K16" i="7"/>
  <c r="K17" i="7"/>
  <c r="K18" i="7"/>
  <c r="K19" i="7"/>
  <c r="K20" i="7"/>
  <c r="BG20" i="6"/>
  <c r="BG19" i="6"/>
  <c r="BG18" i="6"/>
  <c r="BG17" i="6"/>
  <c r="BG16" i="6"/>
  <c r="BG15" i="6"/>
  <c r="BG14" i="6"/>
  <c r="BG13" i="6"/>
  <c r="BG12" i="6"/>
  <c r="BG11" i="6"/>
  <c r="BG10" i="6"/>
  <c r="BG9" i="6"/>
  <c r="BG8" i="6"/>
  <c r="BG7" i="6"/>
  <c r="BG6" i="6"/>
  <c r="BG5" i="6"/>
  <c r="G21" i="3"/>
  <c r="B21" i="3"/>
  <c r="F20" i="17"/>
  <c r="Q20" i="17"/>
  <c r="C46"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O6" i="17"/>
  <c r="CS7" i="17"/>
  <c r="CS6" i="17"/>
  <c r="R4" i="3"/>
  <c r="CR7" i="17"/>
  <c r="CR6" i="17"/>
  <c r="CQ7" i="17"/>
  <c r="CQ6" i="17"/>
  <c r="CP7" i="17"/>
  <c r="CP6" i="17"/>
  <c r="CO7" i="17"/>
  <c r="H6" i="10"/>
  <c r="H7" i="10"/>
  <c r="H5" i="10"/>
  <c r="G7" i="10"/>
  <c r="G6" i="10"/>
  <c r="G5" i="10"/>
  <c r="AI5" i="17"/>
  <c r="AL5" i="17"/>
  <c r="AI6" i="17"/>
  <c r="AL6" i="17"/>
  <c r="AI7" i="17"/>
  <c r="AL7" i="17"/>
  <c r="AI8" i="17"/>
  <c r="AL8" i="17"/>
  <c r="AI9" i="17"/>
  <c r="AL9" i="17"/>
  <c r="AI10" i="17"/>
  <c r="AL10" i="17"/>
  <c r="AI11" i="17"/>
  <c r="AL11" i="17"/>
  <c r="AI12" i="17"/>
  <c r="AL12" i="17"/>
  <c r="AI13" i="17"/>
  <c r="AL13" i="17"/>
  <c r="AI14" i="17"/>
  <c r="AL14" i="17"/>
  <c r="AI15" i="17"/>
  <c r="AL15" i="17"/>
  <c r="AI16" i="17"/>
  <c r="AL16" i="17"/>
  <c r="AI17" i="17"/>
  <c r="AL17" i="17"/>
  <c r="AI18" i="17"/>
  <c r="AL18" i="17"/>
  <c r="AI19" i="17"/>
  <c r="AL19" i="17"/>
  <c r="AI20" i="17"/>
  <c r="AL20" i="17"/>
  <c r="AL4" i="17"/>
  <c r="AI4" i="17"/>
  <c r="F4" i="3"/>
  <c r="F5" i="3"/>
  <c r="F6" i="3"/>
  <c r="F7" i="3"/>
  <c r="F8" i="3"/>
  <c r="F9" i="3"/>
  <c r="F10" i="3"/>
  <c r="F11" i="3"/>
  <c r="F12" i="3"/>
  <c r="F13" i="3"/>
  <c r="F14" i="3"/>
  <c r="F15" i="3"/>
  <c r="F16" i="3"/>
  <c r="F17" i="3"/>
  <c r="F18" i="3"/>
  <c r="F19" i="3"/>
  <c r="F20" i="3"/>
  <c r="F21" i="3"/>
  <c r="O20" i="17"/>
  <c r="P20" i="17"/>
  <c r="R20" i="17"/>
  <c r="I20" i="17"/>
  <c r="S20" i="17"/>
  <c r="T20" i="17"/>
  <c r="U20" i="17"/>
  <c r="V20" i="17"/>
  <c r="S4" i="3"/>
  <c r="S5" i="3"/>
  <c r="S6" i="3"/>
  <c r="S7" i="3"/>
  <c r="S8" i="3"/>
  <c r="S9" i="3"/>
  <c r="S10" i="3"/>
  <c r="S11" i="3"/>
  <c r="S12" i="3"/>
  <c r="S13" i="3"/>
  <c r="S14" i="3"/>
  <c r="S15" i="3"/>
  <c r="S16" i="3"/>
  <c r="S17" i="3"/>
  <c r="S18" i="3"/>
  <c r="S19" i="3"/>
  <c r="S20" i="3"/>
  <c r="C4" i="7"/>
  <c r="C5" i="7"/>
  <c r="C6" i="7"/>
  <c r="C7" i="7"/>
  <c r="C8" i="7"/>
  <c r="C9" i="7"/>
  <c r="C10" i="7"/>
  <c r="C11" i="7"/>
  <c r="H4" i="7"/>
  <c r="H5" i="7"/>
  <c r="H6" i="7"/>
  <c r="H7" i="7"/>
  <c r="H8" i="7"/>
  <c r="H9" i="7"/>
  <c r="H10" i="7"/>
  <c r="H11" i="7"/>
  <c r="D4" i="7"/>
  <c r="D5" i="7"/>
  <c r="D6" i="7"/>
  <c r="D7" i="7"/>
  <c r="D8" i="7"/>
  <c r="D9" i="7"/>
  <c r="D10" i="7"/>
  <c r="D11" i="7"/>
  <c r="I4" i="7"/>
  <c r="I5" i="7"/>
  <c r="I6" i="7"/>
  <c r="I7" i="7"/>
  <c r="I8" i="7"/>
  <c r="I9" i="7"/>
  <c r="I10" i="7"/>
  <c r="I11" i="7"/>
  <c r="E4" i="7"/>
  <c r="E5" i="7"/>
  <c r="E6" i="7"/>
  <c r="E7" i="7"/>
  <c r="E8" i="7"/>
  <c r="E9" i="7"/>
  <c r="E10" i="7"/>
  <c r="E11" i="7"/>
  <c r="J4" i="7"/>
  <c r="J5" i="7"/>
  <c r="J6" i="7"/>
  <c r="J7" i="7"/>
  <c r="J8" i="7"/>
  <c r="J9" i="7"/>
  <c r="J10" i="7"/>
  <c r="J11" i="7"/>
  <c r="K4" i="7"/>
  <c r="K5" i="7"/>
  <c r="K6" i="7"/>
  <c r="K7" i="7"/>
  <c r="K8" i="7"/>
  <c r="K9" i="7"/>
  <c r="K10" i="7"/>
  <c r="K11" i="7"/>
  <c r="I46" i="15"/>
  <c r="F46" i="15"/>
  <c r="E46" i="15"/>
  <c r="I45" i="15"/>
  <c r="F45" i="15"/>
  <c r="E45" i="15"/>
  <c r="I44" i="15"/>
  <c r="F44" i="15"/>
  <c r="E44" i="15"/>
  <c r="I43" i="15"/>
  <c r="F43" i="15"/>
  <c r="E43" i="15"/>
  <c r="I42" i="15"/>
  <c r="F42" i="15"/>
  <c r="E42" i="15"/>
  <c r="I41" i="15"/>
  <c r="F41" i="15"/>
  <c r="E41" i="15"/>
  <c r="I40" i="15"/>
  <c r="F40" i="15"/>
  <c r="E40" i="15"/>
  <c r="I39" i="15"/>
  <c r="F39" i="15"/>
  <c r="E39" i="15"/>
  <c r="I38" i="15"/>
  <c r="F38" i="15"/>
  <c r="E38" i="15"/>
  <c r="I37" i="15"/>
  <c r="F37" i="15"/>
  <c r="E37" i="15"/>
  <c r="I36" i="15"/>
  <c r="F36" i="15"/>
  <c r="E36" i="15"/>
  <c r="I35" i="15"/>
  <c r="F35" i="15"/>
  <c r="E35" i="15"/>
  <c r="I34" i="15"/>
  <c r="F34" i="15"/>
  <c r="E34" i="15"/>
  <c r="I33" i="15"/>
  <c r="F33" i="15"/>
  <c r="E33" i="15"/>
  <c r="I32" i="15"/>
  <c r="F32" i="15"/>
  <c r="E32" i="15"/>
  <c r="I31" i="15"/>
  <c r="F31" i="15"/>
  <c r="E31" i="15"/>
  <c r="I30" i="15"/>
  <c r="F30" i="15"/>
  <c r="E30" i="15"/>
  <c r="I29" i="15"/>
  <c r="F29" i="15"/>
  <c r="E29" i="15"/>
  <c r="I28" i="15"/>
  <c r="F28" i="15"/>
  <c r="E28" i="15"/>
  <c r="I27" i="15"/>
  <c r="F27" i="15"/>
  <c r="E27" i="15"/>
  <c r="I26" i="15"/>
  <c r="F26" i="15"/>
  <c r="E26" i="15"/>
  <c r="I25" i="15"/>
  <c r="F25" i="15"/>
  <c r="E25" i="15"/>
  <c r="I24" i="15"/>
  <c r="F24" i="15"/>
  <c r="E24" i="15"/>
  <c r="I23" i="15"/>
  <c r="F23" i="15"/>
  <c r="E23" i="15"/>
  <c r="I22" i="15"/>
  <c r="F22" i="15"/>
  <c r="E22" i="15"/>
  <c r="I21" i="15"/>
  <c r="F21" i="15"/>
  <c r="E21" i="15"/>
  <c r="I20" i="15"/>
  <c r="F20" i="15"/>
  <c r="E20" i="15"/>
  <c r="I19" i="15"/>
  <c r="F19" i="15"/>
  <c r="E19" i="15"/>
  <c r="I18" i="15"/>
  <c r="F18" i="15"/>
  <c r="E18" i="15"/>
  <c r="I17" i="15"/>
  <c r="F17" i="15"/>
  <c r="E17" i="15"/>
  <c r="I16" i="15"/>
  <c r="F16" i="15"/>
  <c r="E16" i="15"/>
  <c r="I15" i="15"/>
  <c r="F15" i="15"/>
  <c r="E15" i="15"/>
  <c r="I14" i="15"/>
  <c r="F14" i="15"/>
  <c r="E14" i="15"/>
  <c r="I13" i="15"/>
  <c r="F13" i="15"/>
  <c r="E13" i="15"/>
  <c r="I12" i="15"/>
  <c r="F12" i="15"/>
  <c r="E12" i="15"/>
  <c r="I11" i="15"/>
  <c r="F11" i="15"/>
  <c r="E11" i="15"/>
  <c r="I10" i="15"/>
  <c r="F10" i="15"/>
  <c r="E10" i="15"/>
  <c r="I9" i="15"/>
  <c r="F9" i="15"/>
  <c r="E9" i="15"/>
  <c r="I8" i="15"/>
  <c r="F8" i="15"/>
  <c r="E8" i="15"/>
  <c r="I7" i="15"/>
  <c r="F7" i="15"/>
  <c r="E7" i="15"/>
  <c r="I6" i="15"/>
  <c r="F6" i="15"/>
  <c r="E6" i="15"/>
  <c r="I5" i="15"/>
  <c r="F5" i="15"/>
  <c r="E5" i="15"/>
  <c r="I4" i="15"/>
  <c r="F4" i="15"/>
  <c r="E4" i="15"/>
  <c r="C4" i="3"/>
  <c r="H4" i="3"/>
  <c r="C5" i="3"/>
  <c r="H5" i="3"/>
  <c r="C6" i="3"/>
  <c r="H6" i="3"/>
  <c r="C7" i="3"/>
  <c r="H7" i="3"/>
  <c r="C8" i="3"/>
  <c r="H8" i="3"/>
  <c r="C9" i="3"/>
  <c r="H9" i="3"/>
  <c r="C10" i="3"/>
  <c r="H10" i="3"/>
  <c r="C11" i="3"/>
  <c r="H11" i="3"/>
  <c r="C12" i="3"/>
  <c r="H12" i="3"/>
  <c r="C13" i="3"/>
  <c r="H13" i="3"/>
  <c r="C14" i="3"/>
  <c r="H14" i="3"/>
  <c r="C15" i="3"/>
  <c r="H15" i="3"/>
  <c r="C16" i="3"/>
  <c r="H16" i="3"/>
  <c r="C17" i="3"/>
  <c r="H17" i="3"/>
  <c r="C18" i="3"/>
  <c r="H18" i="3"/>
  <c r="C19" i="3"/>
  <c r="H19" i="3"/>
  <c r="C20" i="3"/>
  <c r="H20" i="3"/>
  <c r="C21" i="3"/>
  <c r="H21" i="3"/>
  <c r="P12" i="3"/>
  <c r="U12" i="3"/>
  <c r="AA12" i="3"/>
  <c r="P13" i="3"/>
  <c r="U13" i="3"/>
  <c r="AA13" i="3"/>
  <c r="P14" i="3"/>
  <c r="U14" i="3"/>
  <c r="AA14" i="3"/>
  <c r="P15" i="3"/>
  <c r="U15" i="3"/>
  <c r="AA15" i="3"/>
  <c r="P16" i="3"/>
  <c r="U16" i="3"/>
  <c r="AA16" i="3"/>
  <c r="P17" i="3"/>
  <c r="U17" i="3"/>
  <c r="AA17" i="3"/>
  <c r="P18" i="3"/>
  <c r="U18" i="3"/>
  <c r="AA18" i="3"/>
  <c r="P19" i="3"/>
  <c r="U19" i="3"/>
  <c r="AA19" i="3"/>
  <c r="P20" i="3"/>
  <c r="U20" i="3"/>
  <c r="AA20" i="3"/>
  <c r="D12" i="3"/>
  <c r="Q12" i="3"/>
  <c r="I12" i="3"/>
  <c r="V12" i="3"/>
  <c r="AB12" i="3"/>
  <c r="D13" i="3"/>
  <c r="Q13" i="3"/>
  <c r="I13" i="3"/>
  <c r="V13" i="3"/>
  <c r="AB13" i="3"/>
  <c r="D14" i="3"/>
  <c r="Q14" i="3"/>
  <c r="I14" i="3"/>
  <c r="V14" i="3"/>
  <c r="AB14" i="3"/>
  <c r="D15" i="3"/>
  <c r="Q15" i="3"/>
  <c r="I15" i="3"/>
  <c r="V15" i="3"/>
  <c r="AB15" i="3"/>
  <c r="D16" i="3"/>
  <c r="Q16" i="3"/>
  <c r="I16" i="3"/>
  <c r="V16" i="3"/>
  <c r="AB16" i="3"/>
  <c r="D17" i="3"/>
  <c r="Q17" i="3"/>
  <c r="I17" i="3"/>
  <c r="V17" i="3"/>
  <c r="AB17" i="3"/>
  <c r="D18" i="3"/>
  <c r="Q18" i="3"/>
  <c r="I18" i="3"/>
  <c r="V18" i="3"/>
  <c r="AB18" i="3"/>
  <c r="D19" i="3"/>
  <c r="Q19" i="3"/>
  <c r="I19" i="3"/>
  <c r="V19" i="3"/>
  <c r="AB19" i="3"/>
  <c r="D20" i="3"/>
  <c r="Q20" i="3"/>
  <c r="I20" i="3"/>
  <c r="V20" i="3"/>
  <c r="AB20" i="3"/>
  <c r="AC12" i="3"/>
  <c r="AC13" i="3"/>
  <c r="AC14" i="3"/>
  <c r="AC15" i="3"/>
  <c r="AC16" i="3"/>
  <c r="AC17" i="3"/>
  <c r="AC18" i="3"/>
  <c r="AC19" i="3"/>
  <c r="AC20" i="3"/>
  <c r="K12" i="3"/>
  <c r="K13" i="3"/>
  <c r="K14" i="3"/>
  <c r="K15" i="3"/>
  <c r="K16" i="3"/>
  <c r="K17" i="3"/>
  <c r="K18" i="3"/>
  <c r="K19" i="3"/>
  <c r="K20" i="3"/>
  <c r="Z12" i="3"/>
  <c r="Z13" i="3"/>
  <c r="Z14" i="3"/>
  <c r="Z15" i="3"/>
  <c r="Z16" i="3"/>
  <c r="Z17" i="3"/>
  <c r="Z18" i="3"/>
  <c r="Z19" i="3"/>
  <c r="Z20" i="3"/>
  <c r="Z4" i="3"/>
  <c r="Z5" i="3"/>
  <c r="Z6" i="3"/>
  <c r="Z7" i="3"/>
  <c r="Z8" i="3"/>
  <c r="Z9" i="3"/>
  <c r="Z10" i="3"/>
  <c r="Z11" i="3"/>
  <c r="O21" i="3"/>
  <c r="T21" i="3"/>
  <c r="Z21" i="3"/>
  <c r="K5" i="3"/>
  <c r="K6" i="3"/>
  <c r="K7" i="3"/>
  <c r="K8" i="3"/>
  <c r="K9" i="3"/>
  <c r="K10" i="3"/>
  <c r="K11" i="3"/>
  <c r="K21" i="3"/>
  <c r="K4" i="3"/>
  <c r="I5" i="3"/>
  <c r="I6" i="3"/>
  <c r="I7" i="3"/>
  <c r="I8" i="3"/>
  <c r="I9" i="3"/>
  <c r="I10" i="3"/>
  <c r="I11" i="3"/>
  <c r="I21" i="3"/>
  <c r="I4" i="3"/>
  <c r="D5" i="3"/>
  <c r="D6" i="3"/>
  <c r="D7" i="3"/>
  <c r="D8" i="3"/>
  <c r="D9" i="3"/>
  <c r="D10" i="3"/>
  <c r="D11" i="3"/>
  <c r="D21" i="3"/>
  <c r="D4" i="3"/>
  <c r="X4" i="3"/>
  <c r="D26" i="10"/>
  <c r="C26" i="10"/>
  <c r="V4" i="3"/>
  <c r="V5" i="3"/>
  <c r="V6" i="3"/>
  <c r="V7" i="3"/>
  <c r="V8" i="3"/>
  <c r="V9" i="3"/>
  <c r="V10" i="3"/>
  <c r="V11" i="3"/>
  <c r="D21" i="10"/>
  <c r="Q4" i="3"/>
  <c r="Q5" i="3"/>
  <c r="Q6" i="3"/>
  <c r="Q7" i="3"/>
  <c r="Q8" i="3"/>
  <c r="Q9" i="3"/>
  <c r="Q10" i="3"/>
  <c r="Q11" i="3"/>
  <c r="C21" i="10"/>
  <c r="W4" i="3"/>
  <c r="D16" i="10"/>
  <c r="C16" i="10"/>
  <c r="U4" i="3"/>
  <c r="U5" i="3"/>
  <c r="U6" i="3"/>
  <c r="U7" i="3"/>
  <c r="U8" i="3"/>
  <c r="U9" i="3"/>
  <c r="U10" i="3"/>
  <c r="U11" i="3"/>
  <c r="D11" i="10"/>
  <c r="P4" i="3"/>
  <c r="P5" i="3"/>
  <c r="P6" i="3"/>
  <c r="P7" i="3"/>
  <c r="P8" i="3"/>
  <c r="P9" i="3"/>
  <c r="P10" i="3"/>
  <c r="P11" i="3"/>
  <c r="C11" i="10"/>
  <c r="D6" i="10"/>
  <c r="C6" i="10"/>
  <c r="AA4" i="3"/>
  <c r="AA5" i="3"/>
  <c r="AA6" i="3"/>
  <c r="AA7" i="3"/>
  <c r="AA8" i="3"/>
  <c r="AA9" i="3"/>
  <c r="AA10" i="3"/>
  <c r="AA11" i="3"/>
  <c r="AB4" i="3"/>
  <c r="AB5" i="3"/>
  <c r="AB6" i="3"/>
  <c r="AB7" i="3"/>
  <c r="AB8" i="3"/>
  <c r="AB9" i="3"/>
  <c r="AB10" i="3"/>
  <c r="AB11" i="3"/>
  <c r="AC4" i="3"/>
  <c r="AC5" i="3"/>
  <c r="AC6" i="3"/>
  <c r="AC7" i="3"/>
  <c r="AC8" i="3"/>
  <c r="AC9" i="3"/>
  <c r="AC10" i="3"/>
  <c r="AC11" i="3"/>
  <c r="AD4" i="3"/>
  <c r="C7" i="10"/>
  <c r="D12" i="10"/>
  <c r="C12" i="10"/>
  <c r="D17" i="10"/>
  <c r="C17" i="10"/>
  <c r="D22" i="10"/>
  <c r="C22" i="10"/>
  <c r="D27" i="10"/>
  <c r="C27" i="10"/>
  <c r="C29" i="10"/>
  <c r="D25" i="10"/>
  <c r="C25" i="10"/>
  <c r="D20" i="10"/>
  <c r="C20" i="10"/>
  <c r="D15" i="10"/>
  <c r="C15" i="10"/>
  <c r="D10" i="10"/>
  <c r="C10" i="10"/>
  <c r="E6" i="10"/>
  <c r="E10" i="10"/>
  <c r="E11" i="10"/>
  <c r="E12" i="10"/>
  <c r="E15" i="10"/>
  <c r="E16" i="10"/>
  <c r="E17" i="10"/>
  <c r="E20" i="10"/>
  <c r="E21" i="10"/>
  <c r="E22" i="10"/>
  <c r="E25" i="10"/>
  <c r="E26" i="10"/>
  <c r="E27" i="10"/>
  <c r="C5" i="10"/>
  <c r="D40" i="11"/>
  <c r="D39" i="11"/>
  <c r="E37" i="11"/>
  <c r="D37" i="11"/>
  <c r="E36" i="11"/>
  <c r="D36" i="11"/>
  <c r="E35" i="11"/>
  <c r="D35" i="11"/>
  <c r="E34" i="11"/>
  <c r="D34" i="11"/>
  <c r="E33" i="11"/>
  <c r="D33" i="11"/>
  <c r="E30" i="11"/>
  <c r="D30" i="11"/>
  <c r="E29" i="11"/>
  <c r="D29" i="11"/>
  <c r="E28" i="11"/>
  <c r="D28" i="11"/>
  <c r="E27" i="11"/>
  <c r="D27" i="11"/>
  <c r="E26" i="11"/>
  <c r="D26" i="11"/>
  <c r="E23" i="11"/>
  <c r="D23" i="11"/>
  <c r="E22" i="11"/>
  <c r="D22" i="11"/>
  <c r="E21" i="11"/>
  <c r="D21" i="11"/>
  <c r="E19" i="11"/>
  <c r="D19" i="11"/>
  <c r="E16" i="11"/>
  <c r="D16" i="11"/>
  <c r="E15" i="11"/>
  <c r="D15" i="11"/>
  <c r="E14" i="11"/>
  <c r="D14" i="11"/>
  <c r="E13" i="11"/>
  <c r="D13" i="11"/>
  <c r="D12" i="11"/>
  <c r="E12" i="11"/>
  <c r="F12" i="11"/>
  <c r="F13" i="11"/>
  <c r="F14" i="11"/>
  <c r="F15" i="11"/>
  <c r="F16" i="11"/>
  <c r="F19" i="11"/>
  <c r="F21" i="11"/>
  <c r="F22" i="11"/>
  <c r="F23" i="11"/>
  <c r="F26" i="11"/>
  <c r="F27" i="11"/>
  <c r="F28" i="11"/>
  <c r="F29" i="11"/>
  <c r="F30" i="11"/>
  <c r="F33" i="11"/>
  <c r="F34" i="11"/>
  <c r="F35" i="11"/>
  <c r="F36" i="11"/>
  <c r="F37" i="11"/>
  <c r="E9" i="11"/>
  <c r="D9" i="11"/>
  <c r="D8" i="11"/>
  <c r="E8" i="11"/>
  <c r="F8" i="11"/>
  <c r="F9" i="11"/>
  <c r="D7" i="11"/>
  <c r="E7" i="11"/>
  <c r="F7" i="11"/>
  <c r="D6" i="11"/>
  <c r="E6" i="11"/>
  <c r="F6" i="11"/>
  <c r="D5" i="11"/>
  <c r="E5" i="11"/>
  <c r="F5" i="11"/>
  <c r="P21" i="3"/>
  <c r="S21" i="3"/>
  <c r="Q21" i="3"/>
  <c r="U21" i="3"/>
  <c r="V21" i="3"/>
  <c r="AA21" i="3"/>
  <c r="AB21" i="3"/>
  <c r="AC21" i="3"/>
  <c r="F3" i="4"/>
  <c r="M3" i="4"/>
  <c r="D7" i="10"/>
  <c r="E7" i="10"/>
  <c r="D5" i="10"/>
  <c r="E5" i="10"/>
</calcChain>
</file>

<file path=xl/comments1.xml><?xml version="1.0" encoding="utf-8"?>
<comments xmlns="http://schemas.openxmlformats.org/spreadsheetml/2006/main">
  <authors>
    <author>Takeshi Tashiro</author>
  </authors>
  <commentList>
    <comment ref="S45" authorId="0">
      <text>
        <r>
          <rPr>
            <b/>
            <sz val="10"/>
            <color indexed="81"/>
            <rFont val="ＭＳ Ｐゴシック"/>
            <family val="2"/>
            <charset val="128"/>
          </rPr>
          <t>Takeshi Tashiro:</t>
        </r>
        <r>
          <rPr>
            <sz val="10"/>
            <color indexed="81"/>
            <rFont val="ＭＳ Ｐゴシック"/>
            <family val="2"/>
            <charset val="128"/>
          </rPr>
          <t xml:space="preserve">
IFS</t>
        </r>
      </text>
    </comment>
    <comment ref="T45" authorId="0">
      <text>
        <r>
          <rPr>
            <b/>
            <sz val="10"/>
            <color indexed="81"/>
            <rFont val="ＭＳ Ｐゴシック"/>
            <family val="2"/>
            <charset val="128"/>
          </rPr>
          <t>Takeshi Tashiro:</t>
        </r>
        <r>
          <rPr>
            <sz val="10"/>
            <color indexed="81"/>
            <rFont val="ＭＳ Ｐゴシック"/>
            <family val="2"/>
            <charset val="128"/>
          </rPr>
          <t xml:space="preserve">
IFS</t>
        </r>
      </text>
    </comment>
  </commentList>
</comments>
</file>

<file path=xl/comments2.xml><?xml version="1.0" encoding="utf-8"?>
<comments xmlns="http://schemas.openxmlformats.org/spreadsheetml/2006/main">
  <authors>
    <author>Takeshi Tashiro</author>
  </authors>
  <commentList>
    <comment ref="A3" authorId="0">
      <text>
        <r>
          <rPr>
            <b/>
            <sz val="10"/>
            <color indexed="81"/>
            <rFont val="ＭＳ Ｐゴシック"/>
            <family val="2"/>
            <charset val="128"/>
          </rPr>
          <t>Takeshi Tashiro:</t>
        </r>
        <r>
          <rPr>
            <sz val="10"/>
            <color indexed="81"/>
            <rFont val="ＭＳ Ｐゴシック"/>
            <family val="2"/>
            <charset val="128"/>
          </rPr>
          <t xml:space="preserve">
Including securities lending</t>
        </r>
      </text>
    </comment>
    <comment ref="A4" authorId="0">
      <text>
        <r>
          <rPr>
            <b/>
            <sz val="10"/>
            <color indexed="81"/>
            <rFont val="ＭＳ Ｐゴシック"/>
            <family val="2"/>
            <charset val="128"/>
          </rPr>
          <t>Takeshi Tashiro:</t>
        </r>
        <r>
          <rPr>
            <sz val="10"/>
            <color indexed="81"/>
            <rFont val="ＭＳ Ｐゴシック"/>
            <family val="2"/>
            <charset val="128"/>
          </rPr>
          <t xml:space="preserve">
1996 and onwards, excluding securities lending
</t>
        </r>
      </text>
    </comment>
  </commentList>
</comments>
</file>

<file path=xl/comments3.xml><?xml version="1.0" encoding="utf-8"?>
<comments xmlns="http://schemas.openxmlformats.org/spreadsheetml/2006/main">
  <authors>
    <author>Takeshi Tashiro</author>
  </authors>
  <commentList>
    <comment ref="M3" authorId="0">
      <text>
        <r>
          <rPr>
            <b/>
            <sz val="10"/>
            <color indexed="81"/>
            <rFont val="ＭＳ Ｐゴシック"/>
            <family val="2"/>
            <charset val="128"/>
          </rPr>
          <t>Takeshi Tashiro:</t>
        </r>
        <r>
          <rPr>
            <sz val="10"/>
            <color indexed="81"/>
            <rFont val="ＭＳ Ｐゴシック"/>
            <family val="2"/>
            <charset val="128"/>
          </rPr>
          <t xml:space="preserve">
Percent Change over Corresponding Period of Previous Year, taken from IFS</t>
        </r>
      </text>
    </comment>
  </commentList>
</comments>
</file>

<file path=xl/comments4.xml><?xml version="1.0" encoding="utf-8"?>
<comments xmlns="http://schemas.openxmlformats.org/spreadsheetml/2006/main">
  <authors>
    <author>Takeshi Tashiro</author>
  </authors>
  <commentList>
    <comment ref="BD4" authorId="0">
      <text>
        <r>
          <rPr>
            <b/>
            <sz val="10"/>
            <color indexed="81"/>
            <rFont val="ＭＳ Ｐゴシック"/>
            <family val="2"/>
            <charset val="128"/>
          </rPr>
          <t>Takeshi Tashiro:</t>
        </r>
        <r>
          <rPr>
            <sz val="10"/>
            <color indexed="81"/>
            <rFont val="ＭＳ Ｐゴシック"/>
            <family val="2"/>
            <charset val="128"/>
          </rPr>
          <t xml:space="preserve">
BPM5</t>
        </r>
      </text>
    </comment>
    <comment ref="BD13" authorId="0">
      <text>
        <r>
          <rPr>
            <b/>
            <sz val="10"/>
            <color indexed="81"/>
            <rFont val="ＭＳ Ｐゴシック"/>
            <family val="2"/>
            <charset val="128"/>
          </rPr>
          <t>Takeshi Tashiro:</t>
        </r>
        <r>
          <rPr>
            <sz val="10"/>
            <color indexed="81"/>
            <rFont val="ＭＳ Ｐゴシック"/>
            <family val="2"/>
            <charset val="128"/>
          </rPr>
          <t xml:space="preserve">
BPM6</t>
        </r>
      </text>
    </comment>
  </commentList>
</comments>
</file>

<file path=xl/comments5.xml><?xml version="1.0" encoding="utf-8"?>
<comments xmlns="http://schemas.openxmlformats.org/spreadsheetml/2006/main">
  <authors>
    <author>Takeshi Tashiro</author>
  </authors>
  <commentList>
    <comment ref="BP3" authorId="0">
      <text>
        <r>
          <rPr>
            <b/>
            <sz val="10"/>
            <color indexed="81"/>
            <rFont val="ＭＳ Ｐゴシック"/>
            <family val="2"/>
            <charset val="128"/>
          </rPr>
          <t>Takeshi Tashiro:</t>
        </r>
        <r>
          <rPr>
            <sz val="10"/>
            <color indexed="81"/>
            <rFont val="ＭＳ Ｐゴシック"/>
            <family val="2"/>
            <charset val="128"/>
          </rPr>
          <t xml:space="preserve">
IFS</t>
        </r>
      </text>
    </comment>
  </commentList>
</comments>
</file>

<file path=xl/comments6.xml><?xml version="1.0" encoding="utf-8"?>
<comments xmlns="http://schemas.openxmlformats.org/spreadsheetml/2006/main">
  <authors>
    <author>Takeshi Tashiro</author>
  </authors>
  <commentList>
    <comment ref="B11" authorId="0">
      <text>
        <r>
          <rPr>
            <b/>
            <sz val="10"/>
            <color indexed="81"/>
            <rFont val="ＭＳ Ｐゴシック"/>
            <family val="2"/>
            <charset val="128"/>
          </rPr>
          <t>Takeshi Tashiro:</t>
        </r>
        <r>
          <rPr>
            <sz val="10"/>
            <color indexed="81"/>
            <rFont val="ＭＳ Ｐゴシック"/>
            <family val="2"/>
            <charset val="128"/>
          </rPr>
          <t xml:space="preserve">
Balance of payment statistics BPM5</t>
        </r>
      </text>
    </comment>
    <comment ref="B39" authorId="0">
      <text>
        <r>
          <rPr>
            <b/>
            <sz val="10"/>
            <color indexed="81"/>
            <rFont val="ＭＳ Ｐゴシック"/>
            <family val="2"/>
            <charset val="128"/>
          </rPr>
          <t>Takeshi Tashiro:</t>
        </r>
        <r>
          <rPr>
            <sz val="10"/>
            <color indexed="81"/>
            <rFont val="ＭＳ Ｐゴシック"/>
            <family val="2"/>
            <charset val="128"/>
          </rPr>
          <t xml:space="preserve">
Balance of Payment statistics BPM6</t>
        </r>
      </text>
    </comment>
    <comment ref="C47" authorId="0">
      <text>
        <r>
          <rPr>
            <b/>
            <sz val="10"/>
            <color indexed="81"/>
            <rFont val="ＭＳ Ｐゴシック"/>
            <family val="2"/>
            <charset val="128"/>
          </rPr>
          <t>Takeshi Tashiro:</t>
        </r>
        <r>
          <rPr>
            <sz val="10"/>
            <color indexed="81"/>
            <rFont val="ＭＳ Ｐゴシック"/>
            <family val="2"/>
            <charset val="128"/>
          </rPr>
          <t xml:space="preserve">
BOJ/MOF IIP</t>
        </r>
      </text>
    </comment>
  </commentList>
</comments>
</file>

<file path=xl/comments7.xml><?xml version="1.0" encoding="utf-8"?>
<comments xmlns="http://schemas.openxmlformats.org/spreadsheetml/2006/main">
  <authors>
    <author>Takeshi Tashiro</author>
  </authors>
  <commentList>
    <comment ref="H4" authorId="0">
      <text>
        <r>
          <rPr>
            <b/>
            <sz val="10"/>
            <color indexed="81"/>
            <rFont val="ＭＳ Ｐゴシック"/>
            <family val="2"/>
            <charset val="128"/>
          </rPr>
          <t>Takeshi Tashiro:</t>
        </r>
        <r>
          <rPr>
            <sz val="10"/>
            <color indexed="81"/>
            <rFont val="ＭＳ Ｐゴシック"/>
            <family val="2"/>
            <charset val="128"/>
          </rPr>
          <t xml:space="preserve">
million USD</t>
        </r>
      </text>
    </comment>
    <comment ref="I4" authorId="0">
      <text>
        <r>
          <rPr>
            <b/>
            <sz val="10"/>
            <color indexed="81"/>
            <rFont val="ＭＳ Ｐゴシック"/>
            <family val="2"/>
            <charset val="128"/>
          </rPr>
          <t>Takeshi Tashiro:</t>
        </r>
        <r>
          <rPr>
            <sz val="10"/>
            <color indexed="81"/>
            <rFont val="ＭＳ Ｐゴシック"/>
            <family val="2"/>
            <charset val="128"/>
          </rPr>
          <t xml:space="preserve">
million USD</t>
        </r>
      </text>
    </comment>
    <comment ref="H29" authorId="0">
      <text>
        <r>
          <rPr>
            <b/>
            <sz val="10"/>
            <color indexed="81"/>
            <rFont val="ＭＳ Ｐゴシック"/>
            <family val="2"/>
            <charset val="128"/>
          </rPr>
          <t>Takeshi Tashiro:</t>
        </r>
        <r>
          <rPr>
            <sz val="10"/>
            <color indexed="81"/>
            <rFont val="ＭＳ Ｐゴシック"/>
            <family val="2"/>
            <charset val="128"/>
          </rPr>
          <t xml:space="preserve">
100 million yen</t>
        </r>
      </text>
    </comment>
    <comment ref="I29" authorId="0">
      <text>
        <r>
          <rPr>
            <b/>
            <sz val="10"/>
            <color indexed="81"/>
            <rFont val="ＭＳ Ｐゴシック"/>
            <family val="2"/>
            <charset val="128"/>
          </rPr>
          <t>Takeshi Tashiro:</t>
        </r>
        <r>
          <rPr>
            <sz val="10"/>
            <color indexed="81"/>
            <rFont val="ＭＳ Ｐゴシック"/>
            <family val="2"/>
            <charset val="128"/>
          </rPr>
          <t xml:space="preserve">
100 million yen</t>
        </r>
      </text>
    </comment>
    <comment ref="C30" authorId="0">
      <text>
        <r>
          <rPr>
            <b/>
            <sz val="10"/>
            <color indexed="81"/>
            <rFont val="ＭＳ Ｐゴシック"/>
            <family val="2"/>
            <charset val="128"/>
          </rPr>
          <t>Takeshi Tashiro:</t>
        </r>
        <r>
          <rPr>
            <sz val="10"/>
            <color indexed="81"/>
            <rFont val="ＭＳ Ｐゴシック"/>
            <family val="2"/>
            <charset val="128"/>
          </rPr>
          <t xml:space="preserve">
boj/mof</t>
        </r>
      </text>
    </comment>
    <comment ref="D47" authorId="0">
      <text>
        <r>
          <rPr>
            <b/>
            <sz val="10"/>
            <color indexed="81"/>
            <rFont val="ＭＳ Ｐゴシック"/>
            <family val="2"/>
            <charset val="128"/>
          </rPr>
          <t>Takeshi Tashiro:</t>
        </r>
        <r>
          <rPr>
            <sz val="10"/>
            <color indexed="81"/>
            <rFont val="ＭＳ Ｐゴシック"/>
            <family val="2"/>
            <charset val="128"/>
          </rPr>
          <t xml:space="preserve">
BOJ/MOF
</t>
        </r>
      </text>
    </comment>
  </commentList>
</comments>
</file>

<file path=xl/comments8.xml><?xml version="1.0" encoding="utf-8"?>
<comments xmlns="http://schemas.openxmlformats.org/spreadsheetml/2006/main">
  <authors>
    <author>Takeshi Tashiro</author>
  </authors>
  <commentList>
    <comment ref="H4" authorId="0">
      <text>
        <r>
          <rPr>
            <b/>
            <sz val="10"/>
            <color indexed="81"/>
            <rFont val="ＭＳ Ｐゴシック"/>
            <family val="2"/>
            <charset val="128"/>
          </rPr>
          <t>Takeshi Tashiro:</t>
        </r>
        <r>
          <rPr>
            <sz val="10"/>
            <color indexed="81"/>
            <rFont val="ＭＳ Ｐゴシック"/>
            <family val="2"/>
            <charset val="128"/>
          </rPr>
          <t xml:space="preserve">
million USD</t>
        </r>
      </text>
    </comment>
    <comment ref="I4" authorId="0">
      <text>
        <r>
          <rPr>
            <b/>
            <sz val="10"/>
            <color indexed="81"/>
            <rFont val="ＭＳ Ｐゴシック"/>
            <family val="2"/>
            <charset val="128"/>
          </rPr>
          <t>Takeshi Tashiro:</t>
        </r>
        <r>
          <rPr>
            <sz val="10"/>
            <color indexed="81"/>
            <rFont val="ＭＳ Ｐゴシック"/>
            <family val="2"/>
            <charset val="128"/>
          </rPr>
          <t xml:space="preserve">
million USD</t>
        </r>
      </text>
    </comment>
    <comment ref="H29" authorId="0">
      <text>
        <r>
          <rPr>
            <b/>
            <sz val="10"/>
            <color indexed="81"/>
            <rFont val="ＭＳ Ｐゴシック"/>
            <family val="2"/>
            <charset val="128"/>
          </rPr>
          <t>Takeshi Tashiro:</t>
        </r>
        <r>
          <rPr>
            <sz val="10"/>
            <color indexed="81"/>
            <rFont val="ＭＳ Ｐゴシック"/>
            <family val="2"/>
            <charset val="128"/>
          </rPr>
          <t xml:space="preserve">
100 million yen</t>
        </r>
      </text>
    </comment>
    <comment ref="I29" authorId="0">
      <text>
        <r>
          <rPr>
            <b/>
            <sz val="10"/>
            <color indexed="81"/>
            <rFont val="ＭＳ Ｐゴシック"/>
            <family val="2"/>
            <charset val="128"/>
          </rPr>
          <t>Takeshi Tashiro:</t>
        </r>
        <r>
          <rPr>
            <sz val="10"/>
            <color indexed="81"/>
            <rFont val="ＭＳ Ｐゴシック"/>
            <family val="2"/>
            <charset val="128"/>
          </rPr>
          <t xml:space="preserve">
100 million yen</t>
        </r>
      </text>
    </comment>
  </commentList>
</comments>
</file>

<file path=xl/comments9.xml><?xml version="1.0" encoding="utf-8"?>
<comments xmlns="http://schemas.openxmlformats.org/spreadsheetml/2006/main">
  <authors>
    <author>Takeshi Tashiro</author>
  </authors>
  <commentList>
    <comment ref="BP3" authorId="0">
      <text>
        <r>
          <rPr>
            <b/>
            <sz val="10"/>
            <color indexed="81"/>
            <rFont val="ＭＳ Ｐゴシック"/>
            <family val="2"/>
            <charset val="128"/>
          </rPr>
          <t>Takeshi Tashiro:</t>
        </r>
        <r>
          <rPr>
            <sz val="10"/>
            <color indexed="81"/>
            <rFont val="ＭＳ Ｐゴシック"/>
            <family val="2"/>
            <charset val="128"/>
          </rPr>
          <t xml:space="preserve">
IFS</t>
        </r>
      </text>
    </comment>
  </commentList>
</comments>
</file>

<file path=xl/sharedStrings.xml><?xml version="1.0" encoding="utf-8"?>
<sst xmlns="http://schemas.openxmlformats.org/spreadsheetml/2006/main" count="1301" uniqueCount="664">
  <si>
    <t>Income from FDI</t>
    <phoneticPr fontId="4"/>
  </si>
  <si>
    <t>income from portfolio equity</t>
    <phoneticPr fontId="4"/>
  </si>
  <si>
    <t>income from portfolio debt</t>
    <phoneticPr fontId="4"/>
  </si>
  <si>
    <t>income from other investment</t>
    <phoneticPr fontId="4"/>
  </si>
  <si>
    <t>Assets</t>
  </si>
  <si>
    <t>Liabilities</t>
  </si>
  <si>
    <t>million dollar</t>
    <phoneticPr fontId="4"/>
  </si>
  <si>
    <t>Year</t>
  </si>
  <si>
    <t>Portfolio equity assets (stock)</t>
  </si>
  <si>
    <t>Portfolio equity liabilities (stock)</t>
  </si>
  <si>
    <t>FDI assets (stock)</t>
  </si>
  <si>
    <t>FDI liabilities (stock)</t>
  </si>
  <si>
    <t>Debt assets (stock)</t>
  </si>
  <si>
    <t>Debt liabilities (stock)</t>
  </si>
  <si>
    <t>financial derivatives (assets)</t>
  </si>
  <si>
    <t>financial derivatives (liab)</t>
  </si>
  <si>
    <t>FX Reserves minus gold</t>
  </si>
  <si>
    <t>Total assets</t>
  </si>
  <si>
    <t>Total liabilities</t>
  </si>
  <si>
    <t>NFA</t>
  </si>
  <si>
    <t>OFFICIAL IIP</t>
  </si>
  <si>
    <t>Portfolio debt assets</t>
  </si>
  <si>
    <t>Portfolio debt liabilities</t>
  </si>
  <si>
    <t>Other investment assets</t>
  </si>
  <si>
    <t>Other investment liabilities</t>
  </si>
  <si>
    <t>Exchange rate (period avg)</t>
  </si>
  <si>
    <t>Exchange rate (end of period)</t>
  </si>
  <si>
    <t>yield differential</t>
    <phoneticPr fontId="4"/>
  </si>
  <si>
    <t>inflation</t>
    <phoneticPr fontId="4"/>
  </si>
  <si>
    <t>changes in FDI liabilities</t>
    <phoneticPr fontId="13"/>
  </si>
  <si>
    <t>changes in portfolio equity liabilities</t>
    <phoneticPr fontId="13"/>
  </si>
  <si>
    <t>changes in portfolio debt liabilities</t>
    <phoneticPr fontId="13"/>
  </si>
  <si>
    <t>changes in other investment  liabilities</t>
    <phoneticPr fontId="13"/>
  </si>
  <si>
    <t>sources</t>
    <phoneticPr fontId="4"/>
  </si>
  <si>
    <t>BOP</t>
    <phoneticPr fontId="4"/>
  </si>
  <si>
    <t>BOJ</t>
    <phoneticPr fontId="4"/>
  </si>
  <si>
    <t>BOJ</t>
    <phoneticPr fontId="4"/>
  </si>
  <si>
    <t>BOJ</t>
    <phoneticPr fontId="4"/>
  </si>
  <si>
    <t>inflation</t>
    <phoneticPr fontId="4"/>
  </si>
  <si>
    <t>inflation</t>
    <phoneticPr fontId="4"/>
  </si>
  <si>
    <t>rate differential</t>
    <phoneticPr fontId="4"/>
  </si>
  <si>
    <t>Total assets</t>
    <phoneticPr fontId="4"/>
  </si>
  <si>
    <t>FDI assets</t>
    <phoneticPr fontId="4"/>
  </si>
  <si>
    <t>Portfolio equity assets</t>
    <phoneticPr fontId="4"/>
  </si>
  <si>
    <t>Portfolio debt assets</t>
    <phoneticPr fontId="4"/>
  </si>
  <si>
    <t>Financial derivatives assets</t>
    <phoneticPr fontId="4"/>
  </si>
  <si>
    <t>Other investment assets</t>
    <phoneticPr fontId="4"/>
  </si>
  <si>
    <t>Reserves</t>
    <phoneticPr fontId="4"/>
  </si>
  <si>
    <t>Total liabilities</t>
    <phoneticPr fontId="4"/>
  </si>
  <si>
    <t>FDI liabilities</t>
    <phoneticPr fontId="4"/>
  </si>
  <si>
    <t>Portfolio equity liabilities</t>
    <phoneticPr fontId="4"/>
  </si>
  <si>
    <t>Portfolio debt liabilities</t>
    <phoneticPr fontId="4"/>
  </si>
  <si>
    <t>Financial derivatives liabilities</t>
    <phoneticPr fontId="4"/>
  </si>
  <si>
    <t>Other investment liabilities</t>
    <phoneticPr fontId="4"/>
  </si>
  <si>
    <t>excluding fx change</t>
    <phoneticPr fontId="4"/>
  </si>
  <si>
    <t>outstandings</t>
    <phoneticPr fontId="4"/>
  </si>
  <si>
    <t>changes from previous year</t>
    <phoneticPr fontId="4"/>
  </si>
  <si>
    <t>transaction</t>
    <phoneticPr fontId="4"/>
  </si>
  <si>
    <t>exchange rate</t>
    <phoneticPr fontId="4"/>
  </si>
  <si>
    <t>other changes</t>
    <phoneticPr fontId="4"/>
  </si>
  <si>
    <t>outstandings</t>
    <phoneticPr fontId="4"/>
  </si>
  <si>
    <t>changes from previous year</t>
    <phoneticPr fontId="4"/>
  </si>
  <si>
    <t>transaction</t>
    <phoneticPr fontId="4"/>
  </si>
  <si>
    <t>exchange rate</t>
    <phoneticPr fontId="4"/>
  </si>
  <si>
    <t>other changes</t>
    <phoneticPr fontId="4"/>
  </si>
  <si>
    <t>outstandings</t>
    <phoneticPr fontId="4"/>
  </si>
  <si>
    <t>changes from previous year</t>
    <phoneticPr fontId="4"/>
  </si>
  <si>
    <t>outstandings</t>
  </si>
  <si>
    <t>changes from previous year</t>
  </si>
  <si>
    <t>transaction</t>
  </si>
  <si>
    <t>exchange rate</t>
  </si>
  <si>
    <t>other changes</t>
  </si>
  <si>
    <t>total</t>
    <phoneticPr fontId="4"/>
  </si>
  <si>
    <t>FDI</t>
    <phoneticPr fontId="4"/>
  </si>
  <si>
    <t>equity</t>
    <phoneticPr fontId="4"/>
  </si>
  <si>
    <t>debt</t>
    <phoneticPr fontId="4"/>
  </si>
  <si>
    <t>other investment</t>
    <phoneticPr fontId="4"/>
  </si>
  <si>
    <t>income gain assets</t>
    <phoneticPr fontId="4"/>
  </si>
  <si>
    <t>income gain liabilities</t>
    <phoneticPr fontId="4"/>
  </si>
  <si>
    <t>income gain FDI assets</t>
    <phoneticPr fontId="4"/>
  </si>
  <si>
    <t>income gain FDI liabilities</t>
    <phoneticPr fontId="4"/>
  </si>
  <si>
    <t>income gain equity assets</t>
    <phoneticPr fontId="4"/>
  </si>
  <si>
    <t>income gain equity liabilities</t>
    <phoneticPr fontId="4"/>
  </si>
  <si>
    <t>income gain debt assets</t>
    <phoneticPr fontId="4"/>
  </si>
  <si>
    <t>income gain debt liabilities</t>
    <phoneticPr fontId="4"/>
  </si>
  <si>
    <t>income gain other investment assets</t>
    <phoneticPr fontId="4"/>
  </si>
  <si>
    <t>income gain other investment liabilities</t>
    <phoneticPr fontId="4"/>
  </si>
  <si>
    <t xml:space="preserve"> FDI assets</t>
    <phoneticPr fontId="4"/>
  </si>
  <si>
    <t>FDI liabilities</t>
    <phoneticPr fontId="4"/>
  </si>
  <si>
    <t>equity assets</t>
    <phoneticPr fontId="4"/>
  </si>
  <si>
    <t>equity liabilities</t>
    <phoneticPr fontId="4"/>
  </si>
  <si>
    <t>debt assets</t>
    <phoneticPr fontId="4"/>
  </si>
  <si>
    <t>debt liabilities</t>
    <phoneticPr fontId="4"/>
  </si>
  <si>
    <t>other investment assets</t>
    <phoneticPr fontId="4"/>
  </si>
  <si>
    <t>other investment liabilities</t>
    <phoneticPr fontId="4"/>
  </si>
  <si>
    <t>reserves</t>
    <phoneticPr fontId="4"/>
  </si>
  <si>
    <t>Assets</t>
    <phoneticPr fontId="13"/>
  </si>
  <si>
    <t>Liabilities</t>
    <phoneticPr fontId="13"/>
  </si>
  <si>
    <t>Difference</t>
    <phoneticPr fontId="13"/>
  </si>
  <si>
    <t>Total</t>
    <phoneticPr fontId="13"/>
  </si>
  <si>
    <t>Total</t>
    <phoneticPr fontId="13"/>
  </si>
  <si>
    <t>Total</t>
    <phoneticPr fontId="13"/>
  </si>
  <si>
    <t>Yield</t>
    <phoneticPr fontId="13"/>
  </si>
  <si>
    <t>FDI</t>
    <phoneticPr fontId="13"/>
  </si>
  <si>
    <t>Total</t>
    <phoneticPr fontId="13"/>
  </si>
  <si>
    <t>Debt</t>
    <phoneticPr fontId="13"/>
  </si>
  <si>
    <t>Debt</t>
    <phoneticPr fontId="13"/>
  </si>
  <si>
    <t>Total</t>
    <phoneticPr fontId="13"/>
  </si>
  <si>
    <t>Yield</t>
    <phoneticPr fontId="13"/>
  </si>
  <si>
    <t>Equity</t>
    <phoneticPr fontId="13"/>
  </si>
  <si>
    <t>Equity</t>
    <phoneticPr fontId="13"/>
  </si>
  <si>
    <t>Total</t>
    <phoneticPr fontId="13"/>
  </si>
  <si>
    <t>Others</t>
    <phoneticPr fontId="13"/>
  </si>
  <si>
    <t>Others</t>
    <phoneticPr fontId="13"/>
  </si>
  <si>
    <t>Total</t>
    <phoneticPr fontId="13"/>
  </si>
  <si>
    <t>Reserves</t>
    <phoneticPr fontId="13"/>
  </si>
  <si>
    <t>Reserves</t>
    <phoneticPr fontId="13"/>
  </si>
  <si>
    <t>Assets</t>
    <phoneticPr fontId="13"/>
  </si>
  <si>
    <t>Liabilities</t>
    <phoneticPr fontId="13"/>
  </si>
  <si>
    <t>Difference</t>
    <phoneticPr fontId="13"/>
  </si>
  <si>
    <t>Ex FX change</t>
    <phoneticPr fontId="13"/>
  </si>
  <si>
    <t>Ex FX change</t>
    <phoneticPr fontId="13"/>
  </si>
  <si>
    <t>Ex FX change</t>
    <phoneticPr fontId="13"/>
  </si>
  <si>
    <t>Ex FX change</t>
    <phoneticPr fontId="13"/>
  </si>
  <si>
    <t>Ex FX change</t>
    <phoneticPr fontId="13"/>
  </si>
  <si>
    <t>Yield</t>
    <phoneticPr fontId="13"/>
  </si>
  <si>
    <t xml:space="preserve">Source: </t>
    <phoneticPr fontId="4"/>
  </si>
  <si>
    <t>cumulated CA</t>
    <phoneticPr fontId="4"/>
  </si>
  <si>
    <t>cumulated CA/GDP</t>
    <phoneticPr fontId="4"/>
  </si>
  <si>
    <t>NFA/GDP</t>
    <phoneticPr fontId="4"/>
  </si>
  <si>
    <t>GDP million dollar</t>
    <phoneticPr fontId="4"/>
  </si>
  <si>
    <t>in million usd</t>
    <phoneticPr fontId="4"/>
  </si>
  <si>
    <t>billion yen</t>
    <phoneticPr fontId="4"/>
  </si>
  <si>
    <t>total</t>
    <phoneticPr fontId="4"/>
  </si>
  <si>
    <t>FDI assets</t>
    <phoneticPr fontId="4"/>
  </si>
  <si>
    <t>portfolio equity assets</t>
    <phoneticPr fontId="4"/>
  </si>
  <si>
    <t>total assets</t>
    <phoneticPr fontId="4"/>
  </si>
  <si>
    <t>portfolio debt assets</t>
    <phoneticPr fontId="4"/>
  </si>
  <si>
    <t>other investment assets</t>
    <phoneticPr fontId="4"/>
  </si>
  <si>
    <t>total liabilities</t>
    <phoneticPr fontId="4"/>
  </si>
  <si>
    <t>FDI liabilities</t>
    <phoneticPr fontId="4"/>
  </si>
  <si>
    <t>portfolio equity liabilities</t>
    <phoneticPr fontId="4"/>
  </si>
  <si>
    <t>portfolio debt liabilities</t>
    <phoneticPr fontId="4"/>
  </si>
  <si>
    <t>other investment liabilities</t>
    <phoneticPr fontId="4"/>
  </si>
  <si>
    <t>FDI</t>
    <phoneticPr fontId="4"/>
  </si>
  <si>
    <t>portfolio equity</t>
    <phoneticPr fontId="4"/>
  </si>
  <si>
    <t>portfolio debt</t>
    <phoneticPr fontId="4"/>
  </si>
  <si>
    <t>other investment</t>
    <phoneticPr fontId="4"/>
  </si>
  <si>
    <t>average</t>
    <phoneticPr fontId="4"/>
  </si>
  <si>
    <t>Other invesmtent</t>
    <phoneticPr fontId="4"/>
  </si>
  <si>
    <t>Year</t>
    <phoneticPr fontId="4"/>
  </si>
  <si>
    <t>Japan</t>
    <phoneticPr fontId="4"/>
  </si>
  <si>
    <t>China, mainland</t>
    <phoneticPr fontId="4"/>
  </si>
  <si>
    <t>Germany</t>
    <phoneticPr fontId="4"/>
  </si>
  <si>
    <t>Switzerland</t>
    <phoneticPr fontId="4"/>
  </si>
  <si>
    <t>Norway</t>
    <phoneticPr fontId="4"/>
  </si>
  <si>
    <t>UK</t>
    <phoneticPr fontId="4"/>
  </si>
  <si>
    <t>France</t>
  </si>
  <si>
    <t>Italy</t>
  </si>
  <si>
    <t>US</t>
    <phoneticPr fontId="4"/>
  </si>
  <si>
    <t>millions USD</t>
    <phoneticPr fontId="4"/>
  </si>
  <si>
    <t>other</t>
    <phoneticPr fontId="4"/>
  </si>
  <si>
    <t>inflation</t>
    <phoneticPr fontId="4"/>
  </si>
  <si>
    <t>of which</t>
    <phoneticPr fontId="4"/>
  </si>
  <si>
    <t>return 
effect</t>
    <phoneticPr fontId="4"/>
  </si>
  <si>
    <t>composition 
effect</t>
    <phoneticPr fontId="4"/>
  </si>
  <si>
    <t>Composition effect</t>
    <phoneticPr fontId="4"/>
  </si>
  <si>
    <t>Total</t>
    <phoneticPr fontId="4"/>
  </si>
  <si>
    <t>FDI</t>
    <phoneticPr fontId="4"/>
  </si>
  <si>
    <t>Equity</t>
    <phoneticPr fontId="4"/>
  </si>
  <si>
    <t>Debt</t>
    <phoneticPr fontId="4"/>
  </si>
  <si>
    <t>Other</t>
    <phoneticPr fontId="4"/>
  </si>
  <si>
    <t>return effect</t>
    <phoneticPr fontId="4"/>
  </si>
  <si>
    <t>composition effect</t>
    <phoneticPr fontId="4"/>
  </si>
  <si>
    <t>Portfolio debt assets + reserves</t>
    <phoneticPr fontId="4"/>
  </si>
  <si>
    <t>Portfolio debt assets</t>
    <phoneticPr fontId="4"/>
  </si>
  <si>
    <t>Total assets</t>
    <phoneticPr fontId="4"/>
  </si>
  <si>
    <t>FDI</t>
    <phoneticPr fontId="4"/>
  </si>
  <si>
    <t>portfolio equity</t>
    <phoneticPr fontId="4"/>
  </si>
  <si>
    <t>portfolio debt</t>
    <phoneticPr fontId="4"/>
  </si>
  <si>
    <t>other investment</t>
    <phoneticPr fontId="4"/>
  </si>
  <si>
    <t>Total liabilities</t>
    <phoneticPr fontId="4"/>
  </si>
  <si>
    <t>portfolio equity</t>
    <phoneticPr fontId="4"/>
  </si>
  <si>
    <t>portfolio debt</t>
    <phoneticPr fontId="4"/>
  </si>
  <si>
    <t>other investment</t>
    <phoneticPr fontId="4"/>
  </si>
  <si>
    <t>Total</t>
    <phoneticPr fontId="4"/>
  </si>
  <si>
    <t>financial account reserves</t>
    <phoneticPr fontId="13"/>
  </si>
  <si>
    <t>Total return, including fx change</t>
    <phoneticPr fontId="4"/>
  </si>
  <si>
    <t>total assets</t>
    <phoneticPr fontId="4"/>
  </si>
  <si>
    <t>total liabilities</t>
    <phoneticPr fontId="4"/>
  </si>
  <si>
    <t>asset</t>
    <phoneticPr fontId="4"/>
  </si>
  <si>
    <t>liabilities</t>
    <phoneticPr fontId="4"/>
  </si>
  <si>
    <t>real</t>
    <phoneticPr fontId="4"/>
  </si>
  <si>
    <t>differentials</t>
    <phoneticPr fontId="4"/>
  </si>
  <si>
    <t>changes from previous year</t>
    <phoneticPr fontId="4"/>
  </si>
  <si>
    <t>asset</t>
    <phoneticPr fontId="4"/>
  </si>
  <si>
    <t>debt</t>
    <phoneticPr fontId="4"/>
  </si>
  <si>
    <t>yield</t>
    <phoneticPr fontId="4"/>
  </si>
  <si>
    <t>differential</t>
    <phoneticPr fontId="4"/>
  </si>
  <si>
    <t>Billion yen</t>
    <phoneticPr fontId="4"/>
  </si>
  <si>
    <t>Billion yen</t>
    <phoneticPr fontId="4"/>
  </si>
  <si>
    <t>percent</t>
    <phoneticPr fontId="4"/>
  </si>
  <si>
    <t xml:space="preserve">FX Reserves </t>
    <phoneticPr fontId="4"/>
  </si>
  <si>
    <t>Source: Bank of Japan, Ministry of Finance</t>
    <phoneticPr fontId="4"/>
  </si>
  <si>
    <t>http://www.boj.or.jp/en/statistics/br/bop/index.htm/</t>
    <phoneticPr fontId="4"/>
  </si>
  <si>
    <t>http://www.mof.go.jp/english/international_policy/reference/iip/index.htm</t>
    <phoneticPr fontId="4"/>
  </si>
  <si>
    <t>http://www.philiplane.org/EWN.html</t>
    <phoneticPr fontId="4"/>
  </si>
  <si>
    <t>Source</t>
    <phoneticPr fontId="4"/>
  </si>
  <si>
    <t>http://www.stat-search.boj.or.jp/index_en.html</t>
  </si>
  <si>
    <t>Source:</t>
    <phoneticPr fontId="4"/>
  </si>
  <si>
    <t>billion yen</t>
    <phoneticPr fontId="4"/>
  </si>
  <si>
    <t>BOJ, MOF</t>
    <phoneticPr fontId="4"/>
  </si>
  <si>
    <t>BOJ, MOF</t>
    <phoneticPr fontId="4"/>
  </si>
  <si>
    <t>Source:</t>
    <phoneticPr fontId="4"/>
  </si>
  <si>
    <t>Financial account: Bank of Japan</t>
    <phoneticPr fontId="4"/>
  </si>
  <si>
    <t>http://www.stat-search.boj.or.jp/index_en.html</t>
    <phoneticPr fontId="4"/>
  </si>
  <si>
    <t>Financial account for reserve</t>
    <phoneticPr fontId="4"/>
  </si>
  <si>
    <t>IMF Balance of Payment Statistics</t>
    <phoneticPr fontId="4"/>
  </si>
  <si>
    <t>IFS</t>
    <phoneticPr fontId="4"/>
  </si>
  <si>
    <t>Inflation is IFS</t>
    <phoneticPr fontId="4"/>
  </si>
  <si>
    <t>Real yield</t>
    <phoneticPr fontId="4"/>
  </si>
  <si>
    <t>nominal</t>
    <phoneticPr fontId="4"/>
  </si>
  <si>
    <t>percent</t>
    <phoneticPr fontId="4"/>
  </si>
  <si>
    <t>rate of total return Assets</t>
    <phoneticPr fontId="4"/>
  </si>
  <si>
    <t>rate of total return Liabilities</t>
    <phoneticPr fontId="4"/>
  </si>
  <si>
    <t>real rate of total return Assets</t>
    <phoneticPr fontId="4"/>
  </si>
  <si>
    <t>real rate of total return Liabilities</t>
    <phoneticPr fontId="4"/>
  </si>
  <si>
    <t>Note:  "other changes," which comprise factors other than transactions and exchange rate effects, such as changes in the value of assets and liabilities resulting from fluctuations in stock and bond prices (Bank of  Japan)</t>
    <phoneticPr fontId="4"/>
  </si>
  <si>
    <t>Breakdown of IIP change estimation by Bank of Japan/Ministry of Finance, Japan (in billion yen)</t>
    <phoneticPr fontId="4"/>
  </si>
  <si>
    <t>Total assets</t>
    <phoneticPr fontId="4"/>
  </si>
  <si>
    <t>Total</t>
    <phoneticPr fontId="4"/>
  </si>
  <si>
    <t>Income gain (billion yen)</t>
    <phoneticPr fontId="4"/>
  </si>
  <si>
    <t>yield if we aggregate debt and reserve as denominator</t>
    <phoneticPr fontId="4"/>
  </si>
  <si>
    <t>Composition effect</t>
    <phoneticPr fontId="4"/>
  </si>
  <si>
    <t>Debt + Reserve</t>
    <phoneticPr fontId="4"/>
  </si>
  <si>
    <t>FX Reserves</t>
    <phoneticPr fontId="4"/>
  </si>
  <si>
    <t>Share</t>
    <phoneticPr fontId="4"/>
  </si>
  <si>
    <t>income (billion yen)</t>
    <phoneticPr fontId="4"/>
  </si>
  <si>
    <t>FDI assets</t>
    <phoneticPr fontId="4"/>
  </si>
  <si>
    <t>Portfolio equity assets</t>
    <phoneticPr fontId="4"/>
  </si>
  <si>
    <t xml:space="preserve">FDI liabilities </t>
    <phoneticPr fontId="4"/>
  </si>
  <si>
    <t>Portfolio equity liabilities</t>
    <phoneticPr fontId="4"/>
  </si>
  <si>
    <t>outstanding(billion yen)</t>
    <phoneticPr fontId="4"/>
  </si>
  <si>
    <t>Debt+Reserves</t>
    <phoneticPr fontId="4"/>
  </si>
  <si>
    <t>Reserves</t>
    <phoneticPr fontId="4"/>
  </si>
  <si>
    <t>Source: Bank of Japan, Ministry of Finance, International Financial Statistics</t>
    <phoneticPr fontId="4"/>
  </si>
  <si>
    <t>Return effect and composition effect</t>
    <phoneticPr fontId="4"/>
  </si>
  <si>
    <t xml:space="preserve">yield total return effect </t>
    <phoneticPr fontId="4"/>
  </si>
  <si>
    <t>yield total composition effect</t>
    <phoneticPr fontId="4"/>
  </si>
  <si>
    <t xml:space="preserve">Overall current balance </t>
    <phoneticPr fontId="4"/>
  </si>
  <si>
    <t>Source</t>
    <phoneticPr fontId="4"/>
  </si>
  <si>
    <t>(International Historical Statistics and BOP stats)</t>
    <phoneticPr fontId="4"/>
  </si>
  <si>
    <t>IFS</t>
    <phoneticPr fontId="4"/>
  </si>
  <si>
    <t xml:space="preserve">Exchange rate period average </t>
    <phoneticPr fontId="4"/>
  </si>
  <si>
    <t>GDP</t>
    <phoneticPr fontId="4"/>
  </si>
  <si>
    <t xml:space="preserve">NFA </t>
    <phoneticPr fontId="4"/>
  </si>
  <si>
    <t>Source: Bank of Japan, "Japan's International Investment Position" various issues and Ministry of Finance, "Zaisei Kinyu Tokei Geppou" (Monthly Fiscal and Financial Statistics Review), various issues</t>
    <phoneticPr fontId="4"/>
  </si>
  <si>
    <t>GDP</t>
    <phoneticPr fontId="4"/>
  </si>
  <si>
    <t>net investment income</t>
    <phoneticPr fontId="4"/>
  </si>
  <si>
    <t>NFA</t>
    <phoneticPr fontId="4"/>
  </si>
  <si>
    <t>investment income/GDP</t>
    <phoneticPr fontId="4"/>
  </si>
  <si>
    <t>NFA/GDP</t>
    <phoneticPr fontId="4"/>
  </si>
  <si>
    <t>Investment income assets</t>
    <phoneticPr fontId="4"/>
  </si>
  <si>
    <t>Investment income liabilities</t>
    <phoneticPr fontId="4"/>
  </si>
  <si>
    <t>IFS</t>
    <phoneticPr fontId="4"/>
  </si>
  <si>
    <t>MoF BOJ</t>
    <phoneticPr fontId="4"/>
  </si>
  <si>
    <t>MOF</t>
    <phoneticPr fontId="4"/>
  </si>
  <si>
    <t>MOF</t>
    <phoneticPr fontId="4"/>
  </si>
  <si>
    <t>IFS</t>
    <phoneticPr fontId="4"/>
  </si>
  <si>
    <t xml:space="preserve">Source: </t>
    <phoneticPr fontId="4"/>
  </si>
  <si>
    <t>GDP: IMF, International Financial Statistics</t>
    <phoneticPr fontId="4"/>
  </si>
  <si>
    <t>Exchange rate: IMF, International Financial Statistics</t>
    <phoneticPr fontId="4"/>
  </si>
  <si>
    <t>Investment income, Ministry of Finance, Bank of Japan</t>
    <phoneticPr fontId="4"/>
  </si>
  <si>
    <t>Figure 2: Net foreign assets for selected countries, 1970-2012, in billion USD</t>
    <phoneticPr fontId="4"/>
  </si>
  <si>
    <t>assets</t>
    <phoneticPr fontId="4"/>
  </si>
  <si>
    <t>liabilities</t>
    <phoneticPr fontId="4"/>
  </si>
  <si>
    <t>Note: Breakdown of debt liabilities is not available prior to 1980.</t>
  </si>
  <si>
    <t>Note: Income flow derived from reserves is not available separately from other category. Thus, we combine portfolio debt investment and reserve as “debt”.</t>
  </si>
  <si>
    <t>exchange rate end of period</t>
    <phoneticPr fontId="4"/>
  </si>
  <si>
    <t>External liabilities</t>
    <phoneticPr fontId="4"/>
  </si>
  <si>
    <t>Investment income assets</t>
    <phoneticPr fontId="4"/>
  </si>
  <si>
    <t>Investment income liabilities</t>
    <phoneticPr fontId="4"/>
  </si>
  <si>
    <t>exchange rate period average</t>
    <phoneticPr fontId="4"/>
  </si>
  <si>
    <t>Investment income assets</t>
    <phoneticPr fontId="4"/>
  </si>
  <si>
    <t>Investment Income liabilities</t>
    <phoneticPr fontId="4"/>
  </si>
  <si>
    <t>Financial account credit</t>
    <phoneticPr fontId="4"/>
  </si>
  <si>
    <t>Financial account debit</t>
    <phoneticPr fontId="4"/>
  </si>
  <si>
    <t>Total gain assets</t>
    <phoneticPr fontId="4"/>
  </si>
  <si>
    <t>Total Gain liabilities</t>
    <phoneticPr fontId="4"/>
  </si>
  <si>
    <t>Inflation</t>
    <phoneticPr fontId="4"/>
  </si>
  <si>
    <t>Real rate of return</t>
    <phoneticPr fontId="4"/>
  </si>
  <si>
    <t>yield asset</t>
    <phoneticPr fontId="4"/>
  </si>
  <si>
    <t>yield liabilities</t>
    <phoneticPr fontId="4"/>
  </si>
  <si>
    <t>Differential</t>
    <phoneticPr fontId="4"/>
  </si>
  <si>
    <t>Unit</t>
    <phoneticPr fontId="4"/>
  </si>
  <si>
    <t>Source</t>
    <phoneticPr fontId="4"/>
  </si>
  <si>
    <t>MOF</t>
    <phoneticPr fontId="4"/>
  </si>
  <si>
    <t>IMF BOP stats</t>
    <phoneticPr fontId="4"/>
  </si>
  <si>
    <t>average differential</t>
    <phoneticPr fontId="4"/>
  </si>
  <si>
    <t>total</t>
    <phoneticPr fontId="4"/>
  </si>
  <si>
    <t>Note 1: Aggregate of FDI, Equity, Debt, Other investment and Reserves. Data from January 1996 onward compiled based on the fifth edition of the Balance of Payments Manual published by the IMF.</t>
    <phoneticPr fontId="4"/>
  </si>
  <si>
    <t>Note 2: Lane and Miresi-Ferretti is used for assets/liabilities position. Financial account taken from IMF Balance of Payments statistics is used as flow. Investment income data taken from Ministry of Finance is used for yield calculation.</t>
    <phoneticPr fontId="4"/>
  </si>
  <si>
    <t>Period</t>
    <phoneticPr fontId="4"/>
  </si>
  <si>
    <t>Yield</t>
    <phoneticPr fontId="4"/>
  </si>
  <si>
    <t>Country</t>
    <phoneticPr fontId="4"/>
  </si>
  <si>
    <t>-</t>
    <phoneticPr fontId="4"/>
  </si>
  <si>
    <t>UK</t>
    <phoneticPr fontId="4"/>
  </si>
  <si>
    <t>-</t>
    <phoneticPr fontId="4"/>
  </si>
  <si>
    <t>Meissner and Taylor (2006)</t>
    <phoneticPr fontId="4"/>
  </si>
  <si>
    <t>1981-2003</t>
    <phoneticPr fontId="4"/>
  </si>
  <si>
    <t>Habib (2010)</t>
    <phoneticPr fontId="4"/>
  </si>
  <si>
    <t>1986-2007</t>
    <phoneticPr fontId="4"/>
  </si>
  <si>
    <t>1996-2007</t>
    <phoneticPr fontId="4"/>
  </si>
  <si>
    <t>Eurozone</t>
    <phoneticPr fontId="4"/>
  </si>
  <si>
    <t>2000-2007</t>
    <phoneticPr fontId="4"/>
  </si>
  <si>
    <t>Germany</t>
    <phoneticPr fontId="4"/>
  </si>
  <si>
    <t>France</t>
    <phoneticPr fontId="4"/>
  </si>
  <si>
    <t>Italy</t>
    <phoneticPr fontId="4"/>
  </si>
  <si>
    <t>Canada</t>
    <phoneticPr fontId="4"/>
  </si>
  <si>
    <t>Switzerland</t>
    <phoneticPr fontId="4"/>
  </si>
  <si>
    <t>Australia</t>
    <phoneticPr fontId="4"/>
  </si>
  <si>
    <t>Breakdown of IIP change estimation by Bank of Japan/Ministry of Finance, Japan (in billion yen)</t>
    <phoneticPr fontId="4"/>
  </si>
  <si>
    <t>Income gain (billion yen)</t>
    <phoneticPr fontId="4"/>
  </si>
  <si>
    <t>Total return, ex FX change</t>
    <phoneticPr fontId="4"/>
  </si>
  <si>
    <t>Total assets</t>
    <phoneticPr fontId="4"/>
  </si>
  <si>
    <t>FDI assets</t>
    <phoneticPr fontId="4"/>
  </si>
  <si>
    <t>Other investment assets</t>
    <phoneticPr fontId="4"/>
  </si>
  <si>
    <t>Reserves</t>
    <phoneticPr fontId="4"/>
  </si>
  <si>
    <t>Total liabilities</t>
    <phoneticPr fontId="4"/>
  </si>
  <si>
    <t>FDI liabilities</t>
    <phoneticPr fontId="4"/>
  </si>
  <si>
    <t>Portfolio equity liabilities</t>
    <phoneticPr fontId="4"/>
  </si>
  <si>
    <t>Portfolio debt liabilities</t>
    <phoneticPr fontId="4"/>
  </si>
  <si>
    <t>Financial derivatives liabilities</t>
    <phoneticPr fontId="4"/>
  </si>
  <si>
    <t>Other investment liabilities</t>
    <phoneticPr fontId="4"/>
  </si>
  <si>
    <t>excluding fx change</t>
    <phoneticPr fontId="4"/>
  </si>
  <si>
    <t>rate differential</t>
    <phoneticPr fontId="4"/>
  </si>
  <si>
    <t>outstandings</t>
    <phoneticPr fontId="4"/>
  </si>
  <si>
    <t>changes from previous year</t>
    <phoneticPr fontId="4"/>
  </si>
  <si>
    <t>transaction</t>
    <phoneticPr fontId="4"/>
  </si>
  <si>
    <t>exchange rate</t>
    <phoneticPr fontId="4"/>
  </si>
  <si>
    <t>other changes</t>
    <phoneticPr fontId="4"/>
  </si>
  <si>
    <t>outstandings</t>
    <phoneticPr fontId="4"/>
  </si>
  <si>
    <t>inflation</t>
    <phoneticPr fontId="4"/>
  </si>
  <si>
    <t>total</t>
    <phoneticPr fontId="4"/>
  </si>
  <si>
    <t>FDI</t>
    <phoneticPr fontId="4"/>
  </si>
  <si>
    <t>equity</t>
    <phoneticPr fontId="4"/>
  </si>
  <si>
    <t>equity</t>
    <phoneticPr fontId="4"/>
  </si>
  <si>
    <t>debt</t>
    <phoneticPr fontId="4"/>
  </si>
  <si>
    <t>derivatives</t>
    <phoneticPr fontId="4"/>
  </si>
  <si>
    <t>other investment</t>
    <phoneticPr fontId="4"/>
  </si>
  <si>
    <t>income gain assets</t>
    <phoneticPr fontId="4"/>
  </si>
  <si>
    <t>income gain other investment assets</t>
    <phoneticPr fontId="4"/>
  </si>
  <si>
    <t>income gain FDI liabilities</t>
    <phoneticPr fontId="4"/>
  </si>
  <si>
    <t>income gain equity liabilities</t>
    <phoneticPr fontId="4"/>
  </si>
  <si>
    <t>income gain debt liabilities</t>
    <phoneticPr fontId="4"/>
  </si>
  <si>
    <t>income gain other investment liabilities</t>
    <phoneticPr fontId="4"/>
  </si>
  <si>
    <t xml:space="preserve"> FDI assets</t>
    <phoneticPr fontId="4"/>
  </si>
  <si>
    <t>equity assets</t>
    <phoneticPr fontId="4"/>
  </si>
  <si>
    <t>reserves</t>
    <phoneticPr fontId="4"/>
  </si>
  <si>
    <t>debt liabilities</t>
    <phoneticPr fontId="4"/>
  </si>
  <si>
    <t>Total</t>
    <phoneticPr fontId="4"/>
  </si>
  <si>
    <t>FDI</t>
    <phoneticPr fontId="4"/>
  </si>
  <si>
    <t>equity</t>
    <phoneticPr fontId="4"/>
  </si>
  <si>
    <t>debt</t>
    <phoneticPr fontId="4"/>
  </si>
  <si>
    <t>other investment</t>
    <phoneticPr fontId="4"/>
  </si>
  <si>
    <t>Total assets</t>
    <phoneticPr fontId="4"/>
  </si>
  <si>
    <t xml:space="preserve"> FDI assets</t>
    <phoneticPr fontId="4"/>
  </si>
  <si>
    <t>equity assets</t>
    <phoneticPr fontId="4"/>
  </si>
  <si>
    <t>debt assets</t>
    <phoneticPr fontId="4"/>
  </si>
  <si>
    <t>reserves</t>
    <phoneticPr fontId="4"/>
  </si>
  <si>
    <t>Total liabilities</t>
    <phoneticPr fontId="4"/>
  </si>
  <si>
    <t>FDI liabilities</t>
    <phoneticPr fontId="4"/>
  </si>
  <si>
    <t>debt liabilities</t>
    <phoneticPr fontId="4"/>
  </si>
  <si>
    <t>other investment liabilities</t>
    <phoneticPr fontId="4"/>
  </si>
  <si>
    <t>Source: Bank of Japan, "Japan's International Investment Position" various issues and Ministry of Finance, "Zaisei Kinyu Tokei Geppou" (Monthly Fiscal and Financial Statistics Review), various issues</t>
    <phoneticPr fontId="4"/>
  </si>
  <si>
    <t>Note:  "other changes," which comprise factors other than transactions and exchange rate effects, such as changes in the value of assets and liabilities resulting from fluctuations in stock and bond prices (Bank of  Japan)</t>
    <phoneticPr fontId="4"/>
  </si>
  <si>
    <t>Difference</t>
    <phoneticPr fontId="13"/>
  </si>
  <si>
    <t>FDI</t>
    <phoneticPr fontId="13"/>
  </si>
  <si>
    <t>Financial derivatives</t>
    <phoneticPr fontId="4"/>
  </si>
  <si>
    <t>Reserves</t>
    <phoneticPr fontId="13"/>
  </si>
  <si>
    <t>Appendix table: Japan's return differential estimates in existing literature</t>
    <phoneticPr fontId="4"/>
  </si>
  <si>
    <t>Appendix table: Return differential estimates for selected countries in existing literature</t>
    <phoneticPr fontId="4"/>
  </si>
  <si>
    <t>External assets</t>
    <phoneticPr fontId="4"/>
  </si>
  <si>
    <t>Unit: million US dollar</t>
    <phoneticPr fontId="4"/>
  </si>
  <si>
    <t>Financial derivatives (assets)</t>
    <phoneticPr fontId="4"/>
  </si>
  <si>
    <t>Financial derivatives (liab)</t>
    <phoneticPr fontId="4"/>
  </si>
  <si>
    <t>investment income total assets</t>
    <phoneticPr fontId="4"/>
  </si>
  <si>
    <t>investment income total liabilities</t>
    <phoneticPr fontId="4"/>
  </si>
  <si>
    <t xml:space="preserve">Bank of Japan </t>
    <phoneticPr fontId="4"/>
  </si>
  <si>
    <t>inflation: Percent Change over Corresponding Period of Previous Year, taken from IMF, International Financial Statistics</t>
    <phoneticPr fontId="4"/>
  </si>
  <si>
    <t xml:space="preserve">Note: The cumulated current account series starts with Japan’s net foreign asset position at the end of 1970 then cumulates subsequent Japan’s current account balances.
</t>
    <phoneticPr fontId="4"/>
  </si>
  <si>
    <t>Nominal yield</t>
    <phoneticPr fontId="4"/>
  </si>
  <si>
    <t>financial account FDI assets</t>
    <phoneticPr fontId="13"/>
  </si>
  <si>
    <t>financial account FDI liabilities</t>
    <phoneticPr fontId="13"/>
  </si>
  <si>
    <t>changes in portofolio equity assets</t>
    <phoneticPr fontId="13"/>
  </si>
  <si>
    <t>financial account portofolio equity assets</t>
    <phoneticPr fontId="13"/>
  </si>
  <si>
    <t>financial account equity liabilities</t>
    <phoneticPr fontId="13"/>
  </si>
  <si>
    <t>changes in portofolio debt assets</t>
    <phoneticPr fontId="13"/>
  </si>
  <si>
    <t>financial account portofolio debt assets</t>
    <phoneticPr fontId="13"/>
  </si>
  <si>
    <t>financial account debt liabilities</t>
    <phoneticPr fontId="13"/>
  </si>
  <si>
    <t>changes in other investment assets</t>
    <phoneticPr fontId="13"/>
  </si>
  <si>
    <t>financial account other investment liabilities</t>
    <phoneticPr fontId="13"/>
  </si>
  <si>
    <t>financial account other investment assets</t>
    <phoneticPr fontId="13"/>
  </si>
  <si>
    <t>percent</t>
    <phoneticPr fontId="4"/>
  </si>
  <si>
    <t>percent</t>
    <phoneticPr fontId="4"/>
  </si>
  <si>
    <t>percent</t>
    <phoneticPr fontId="4"/>
  </si>
  <si>
    <t>real rate of income gain assets</t>
    <phoneticPr fontId="4"/>
  </si>
  <si>
    <t>real rate of income gain FDI assets</t>
    <phoneticPr fontId="4"/>
  </si>
  <si>
    <t>real rate of income gain equity assets</t>
    <phoneticPr fontId="4"/>
  </si>
  <si>
    <t>real rate of income gain debt assets</t>
    <phoneticPr fontId="4"/>
  </si>
  <si>
    <t>real rate of income gain other investment assets</t>
    <phoneticPr fontId="4"/>
  </si>
  <si>
    <t>real rate of income gain liabilities</t>
    <phoneticPr fontId="4"/>
  </si>
  <si>
    <t>real rate of income gain FDI liabilities</t>
    <phoneticPr fontId="4"/>
  </si>
  <si>
    <t>real rate of income gain equity liabilities</t>
    <phoneticPr fontId="4"/>
  </si>
  <si>
    <t>real rate of income gain debt liabilities</t>
    <phoneticPr fontId="4"/>
  </si>
  <si>
    <t>real rate of income gain other investment liabilities</t>
    <phoneticPr fontId="4"/>
  </si>
  <si>
    <t>total assets</t>
    <phoneticPr fontId="4"/>
  </si>
  <si>
    <t>total liabilities</t>
    <phoneticPr fontId="4"/>
  </si>
  <si>
    <t>real rate of return Total assets</t>
    <phoneticPr fontId="4"/>
  </si>
  <si>
    <t>real rate of return FDI assets</t>
    <phoneticPr fontId="4"/>
  </si>
  <si>
    <t>real rate of return equity assets</t>
    <phoneticPr fontId="4"/>
  </si>
  <si>
    <t>real rate of return debt assets</t>
    <phoneticPr fontId="4"/>
  </si>
  <si>
    <t>real rate of return other investment assets</t>
    <phoneticPr fontId="4"/>
  </si>
  <si>
    <t>real rate of return reserves</t>
    <phoneticPr fontId="4"/>
  </si>
  <si>
    <t>real rate of return Total liabilities</t>
    <phoneticPr fontId="4"/>
  </si>
  <si>
    <t>real rate of return FDI liabilities</t>
    <phoneticPr fontId="4"/>
  </si>
  <si>
    <t>real rate of return equity liabilities</t>
    <phoneticPr fontId="4"/>
  </si>
  <si>
    <t>real rate of return debt liabilities</t>
    <phoneticPr fontId="4"/>
  </si>
  <si>
    <t>real rate of return other investment liabilities</t>
    <phoneticPr fontId="4"/>
  </si>
  <si>
    <t>total return rate differential</t>
    <phoneticPr fontId="4"/>
  </si>
  <si>
    <t>Total return, ex FX change</t>
    <phoneticPr fontId="4"/>
  </si>
  <si>
    <t>Total return, ex FX change rate differential</t>
    <phoneticPr fontId="4"/>
  </si>
  <si>
    <t>total liabilities</t>
    <phoneticPr fontId="4"/>
  </si>
  <si>
    <t>real rate of return total liabilities</t>
    <phoneticPr fontId="4"/>
  </si>
  <si>
    <t>real rate of return equity liabilities</t>
    <phoneticPr fontId="4"/>
  </si>
  <si>
    <t>real rate of return other investment liabilities</t>
    <phoneticPr fontId="4"/>
  </si>
  <si>
    <t>asset (not percentage)</t>
    <phoneticPr fontId="4"/>
  </si>
  <si>
    <t>liabilities  (not percentage)</t>
    <phoneticPr fontId="4"/>
  </si>
  <si>
    <t>liabilities</t>
    <phoneticPr fontId="4"/>
  </si>
  <si>
    <t>Note: reserves income flow is not available, so debt and reserve is aggregated as "debt" in this composition effect estimation</t>
    <phoneticPr fontId="4"/>
  </si>
  <si>
    <t>Real rate of income gain</t>
    <phoneticPr fontId="4"/>
  </si>
  <si>
    <t>Portfolio debt assets+Reserves</t>
    <phoneticPr fontId="4"/>
  </si>
  <si>
    <t>Portforlio debt assets and Reserves</t>
    <phoneticPr fontId="4"/>
  </si>
  <si>
    <t>million USD</t>
    <phoneticPr fontId="4"/>
  </si>
  <si>
    <t>Total assets</t>
    <phoneticPr fontId="4"/>
  </si>
  <si>
    <t>Total Liabilities</t>
    <phoneticPr fontId="4"/>
  </si>
  <si>
    <t>Real rate of return Total assets</t>
    <phoneticPr fontId="4"/>
  </si>
  <si>
    <t>Real rate of return total liabilities</t>
    <phoneticPr fontId="4"/>
  </si>
  <si>
    <t>Percent</t>
    <phoneticPr fontId="4"/>
  </si>
  <si>
    <t>Real rate of income gain FDI assets</t>
    <phoneticPr fontId="4"/>
  </si>
  <si>
    <t>Real rate of income gain assets</t>
    <phoneticPr fontId="4"/>
  </si>
  <si>
    <t>Real rate of income gain equity assets</t>
    <phoneticPr fontId="4"/>
  </si>
  <si>
    <t>Real rate of income gain debt assets</t>
    <phoneticPr fontId="4"/>
  </si>
  <si>
    <t>Real rate of income gain other investment assets</t>
    <phoneticPr fontId="4"/>
  </si>
  <si>
    <t>Real rate of income gain liabilities</t>
    <phoneticPr fontId="4"/>
  </si>
  <si>
    <t>Real rate of income gain FDI liabilities</t>
    <phoneticPr fontId="4"/>
  </si>
  <si>
    <t>Real rate of income gain equity liabilities</t>
    <phoneticPr fontId="4"/>
  </si>
  <si>
    <t>Real rate of income gain debt liabilities</t>
    <phoneticPr fontId="4"/>
  </si>
  <si>
    <t>Real rate of income gain other investment liabilities</t>
    <phoneticPr fontId="4"/>
  </si>
  <si>
    <t>Real rate of return Total assets</t>
    <phoneticPr fontId="4"/>
  </si>
  <si>
    <t>Real rate of return FDI assets</t>
    <phoneticPr fontId="4"/>
  </si>
  <si>
    <t>Real rate of return equity assets</t>
    <phoneticPr fontId="4"/>
  </si>
  <si>
    <t>Real rate of return debt assets</t>
    <phoneticPr fontId="4"/>
  </si>
  <si>
    <t>Real rate of return other investment assets</t>
    <phoneticPr fontId="4"/>
  </si>
  <si>
    <t>Real rate of return reserves</t>
    <phoneticPr fontId="4"/>
  </si>
  <si>
    <t>Real rate of return Total liabilities</t>
    <phoneticPr fontId="4"/>
  </si>
  <si>
    <t>Real rate of return FDI liabilities</t>
    <phoneticPr fontId="4"/>
  </si>
  <si>
    <t>Real rate of return equity liabilities</t>
    <phoneticPr fontId="4"/>
  </si>
  <si>
    <t>Real rate of return debt liabilities</t>
    <phoneticPr fontId="4"/>
  </si>
  <si>
    <t>Real rate of return other investment liabilities</t>
    <phoneticPr fontId="4"/>
  </si>
  <si>
    <t>Real rate of return FDI assets</t>
    <phoneticPr fontId="4"/>
  </si>
  <si>
    <t>Real rate of return debt assets</t>
    <phoneticPr fontId="4"/>
  </si>
  <si>
    <t>Real rate of return total liabilities</t>
    <phoneticPr fontId="4"/>
  </si>
  <si>
    <t>Real rate of return equity liabilities</t>
    <phoneticPr fontId="4"/>
  </si>
  <si>
    <t>asset (not percentage)</t>
    <phoneticPr fontId="4"/>
  </si>
  <si>
    <t>liabilities  (not percentage)</t>
    <phoneticPr fontId="4"/>
  </si>
  <si>
    <t>liabilities</t>
    <phoneticPr fontId="4"/>
  </si>
  <si>
    <t>yield</t>
    <phoneticPr fontId="4"/>
  </si>
  <si>
    <t>yield if we aggregate debt and reserve as denominator</t>
    <phoneticPr fontId="4"/>
  </si>
  <si>
    <t>2000-2007</t>
    <phoneticPr fontId="4"/>
  </si>
  <si>
    <t>Lane and Milesi-Ferretti (2005)</t>
    <phoneticPr fontId="4"/>
  </si>
  <si>
    <t>Lane and Milesi-Ferretti (2005)</t>
    <phoneticPr fontId="4"/>
  </si>
  <si>
    <t xml:space="preserve">Sources: IMF International Financial Statistics, IMF Balance of Payments Statistics, Lane and Milesi-Ferretti (2007, updated) and International Historical Statistics (2013). </t>
    <phoneticPr fontId="4"/>
  </si>
  <si>
    <t>Source: Lane and Milesi-Ferretti (2007, updated), IMF, International Financial Statistics, Bank of Japan/Ministry of Finance, Balance of Payments statistics and Bank of Japan/Ministry of Finance, International Investment Position</t>
    <phoneticPr fontId="4"/>
  </si>
  <si>
    <t>Source: Lane and Milesi-Ferretti (2007, updated)</t>
    <phoneticPr fontId="4"/>
  </si>
  <si>
    <t>Lane and Milesi-Ferretti</t>
    <phoneticPr fontId="4"/>
  </si>
  <si>
    <t>Lane and Milesi-Ferretti</t>
    <phoneticPr fontId="4"/>
  </si>
  <si>
    <t>Note 2: Among G7 countries, only Japan's number of observation is 17 in their analysis.</t>
    <phoneticPr fontId="4"/>
  </si>
  <si>
    <t xml:space="preserve">Note: In this appendix table, financial derivatives is added to table 2 analysis. </t>
    <phoneticPr fontId="4"/>
  </si>
  <si>
    <t>Source: Lane and Milesi-Ferretti (2005), Meissner and Taylor (2006) and Habib (2010)</t>
    <phoneticPr fontId="4"/>
  </si>
  <si>
    <t>Source: Lane and Milesi-Ferretti (2005), Meissner and Taylor (2006) and Habib (2010)</t>
    <phoneticPr fontId="4"/>
  </si>
  <si>
    <t>income gain rate differential</t>
    <phoneticPr fontId="4"/>
  </si>
  <si>
    <t>Portfolio debt composition</t>
    <phoneticPr fontId="4"/>
  </si>
  <si>
    <t>ratio of long</t>
    <phoneticPr fontId="4"/>
  </si>
  <si>
    <t>Debt liabilities</t>
    <phoneticPr fontId="4"/>
  </si>
  <si>
    <t xml:space="preserve">Long-term </t>
    <phoneticPr fontId="4"/>
  </si>
  <si>
    <t>Short-term</t>
    <phoneticPr fontId="4"/>
  </si>
  <si>
    <t>Real yield for debt asset</t>
    <phoneticPr fontId="4"/>
  </si>
  <si>
    <t>Real yield for debt liabiltiies</t>
    <phoneticPr fontId="4"/>
  </si>
  <si>
    <t>differential</t>
    <phoneticPr fontId="4"/>
  </si>
  <si>
    <t>Source: Bank of Japan/Ministry of Finance, International investment position, Bank of Japan/Ministry of Finance, Balance of Payments statistics</t>
    <phoneticPr fontId="4"/>
  </si>
  <si>
    <t>Billion yen</t>
    <phoneticPr fontId="4"/>
  </si>
  <si>
    <t>Sources: Lane and Milesi-Ferretti (2007, updated)</t>
    <phoneticPr fontId="4"/>
  </si>
  <si>
    <t xml:space="preserve">Note: Stock-flow adjustment is “change in outstanding” minus “financial account.” </t>
    <phoneticPr fontId="4"/>
  </si>
  <si>
    <t>Stock-flow adjustment effects</t>
    <phoneticPr fontId="13"/>
  </si>
  <si>
    <t>Debt and reserves</t>
    <phoneticPr fontId="4"/>
  </si>
  <si>
    <t>(for reference)</t>
    <phoneticPr fontId="4"/>
  </si>
  <si>
    <t>Stock-flow adjustment effects</t>
    <phoneticPr fontId="13"/>
  </si>
  <si>
    <t>Note: Stock-flow adjustment is “change in outstanding” minus “transaction” based on Bank of Japan/Ministry of Finance estimation.</t>
    <phoneticPr fontId="4"/>
  </si>
  <si>
    <t>Income flow from reserves is not available separately. We show yield from aggregate debt and reserve for the source of debt income flow as a reference</t>
    <phoneticPr fontId="4"/>
  </si>
  <si>
    <t xml:space="preserve"> Stock-flow adjustment effects</t>
    <phoneticPr fontId="4"/>
  </si>
  <si>
    <t>Figure 1: Japan: Cumulated current account and net foreign assets (as a percent of GDP)</t>
    <phoneticPr fontId="4"/>
  </si>
  <si>
    <t>Source: Bank of Japan/Ministry of Finance, Balance of Payments statistics and Bank of Japan/Ministry of Finance, International Investment Position. IMF, International Financial Statistics</t>
    <phoneticPr fontId="4"/>
  </si>
  <si>
    <t>Reinvested earning for FDI is included for this return differentials estimation.</t>
    <phoneticPr fontId="4"/>
  </si>
  <si>
    <t>Assets and liabilities outstanding include securities lending in 1995 used as denominators for computing return differentials for 1996 because of data availability.</t>
    <phoneticPr fontId="4"/>
  </si>
  <si>
    <t>Income flow from reserves is not available separately. We show yield from aggregate of debt and reserves for the source of debt income flow as a reference.</t>
    <phoneticPr fontId="4"/>
  </si>
  <si>
    <t>Sources: Bank of Japan/Ministry of Finance, Balance of Payments statistics, and Bank of Japan/Ministry of Finance, International Investment Position. IMF, International Financial Statistics</t>
    <phoneticPr fontId="4"/>
  </si>
  <si>
    <t xml:space="preserve">Source: Bank of Japan/Ministry of Finance, Balance of Payments statistics and International Investment Position, IMF, Balance of Payments statistics and International Financial Statistics, Lane and Milesi-Ferretti (2007, updated). Ministry of Finance, "Zaisei Kinyu Tokei Geppou" (“Monthly Fiscal and Financial Statistics Review”), various issues. </t>
    <phoneticPr fontId="4"/>
  </si>
  <si>
    <t>Sources: Balance on income: Bank of Japan/Ministry of Finance, Balance of Payments statistics. Outstanding of assets and liabilities: Bank of Japan, "Japan's International Investment Position" various issues and Ministry of Finance, "Zaisei Kinyu Tokei Geppou" (“Monthly Fiscal and Financial Statistics Review”), various issues. Inflation: IMF, International Financial Statistics.</t>
    <phoneticPr fontId="4"/>
  </si>
  <si>
    <t>Note 1: Yield is the return attributable to income flows from one’s assets or liabilities, while stock-flow adjustment effects are the returns attributable to the combination of net valuation effects (including exchange rate movements and other asset price movements) and net other adjustments (data revisions, new measurement techniques, reclassifications and so on) on assets or liabilities. “Plus sign” means that a country gets higher returns on its assets than it pays on its liabilities, and minus sign means the opposite. There is a debate over measurement issue in these studies that we discussed in text.</t>
    <phoneticPr fontId="4"/>
  </si>
  <si>
    <t>Note: Yield is the return attributable to income flows from one’s assets or liabilities, while stock-flow adjustment effects are the returns attributable to the combination of net valuation effects (including exchange rate movements and other asset price movements) and net other adjustments (data revisions, new measurement techniques, reclassifications and so on) on assets or liabilities Total is sum of yield and stock-flow adjustment effects. There is a debate over measurement issue in these studies that we discussed in text. “Plus sign” means that a country gets higher returns on its assets than it pays on its liabilities, and minus sign means the opposite.</t>
    <phoneticPr fontId="4"/>
  </si>
  <si>
    <t>Balance on income</t>
    <phoneticPr fontId="4"/>
  </si>
  <si>
    <t>Sources: Asset and liabilities outstanding: Bank of Japan/Ministry of Finance, International Investment Position. Balance on income and financial account: Bank of Japan/Ministry of Finance, Balance of Payments statistics. Inflation: IMF, International Financial Statistics and Balance of Payments statistics</t>
    <phoneticPr fontId="4"/>
  </si>
  <si>
    <t>Sources: Balance on income: Bank of Japan/Ministry of Finance, Balance of Payments statistics. Outstanding assets and liabilities: Bank of Japan, "Japan's International Investment Position", various issues; and Ministry of Finance, "Zaisei Kinyu Tokei Geppou" (“Monthly Fiscal and Financial Statistics Review”), various issues. Inflation: IMF, International Financial Statistics and Balance of Payments statistics</t>
    <phoneticPr fontId="4"/>
  </si>
  <si>
    <t xml:space="preserve">Sources: Lane and Milesi-Ferretti (2007, updated) </t>
    <phoneticPr fontId="4"/>
  </si>
  <si>
    <t>Stock-flow adjustment total assets</t>
    <phoneticPr fontId="13"/>
  </si>
  <si>
    <t>Stock-flow adjustment total liabilities</t>
    <phoneticPr fontId="13"/>
  </si>
  <si>
    <t>rate of Stock-flow adjustment assets</t>
    <phoneticPr fontId="13"/>
  </si>
  <si>
    <t>rate of Stock-flow adjustment liabilities</t>
    <phoneticPr fontId="13"/>
  </si>
  <si>
    <t>real rate of Stock-flow adjustment assets</t>
    <phoneticPr fontId="13"/>
  </si>
  <si>
    <t>real rate of Stock-flow adjustment liabilities</t>
    <phoneticPr fontId="13"/>
  </si>
  <si>
    <t>rate difference of Stock-flow adjustment total</t>
    <phoneticPr fontId="13"/>
  </si>
  <si>
    <t>changes in FDI assets</t>
    <phoneticPr fontId="13"/>
  </si>
  <si>
    <t>Stock-flow adjustment FDI assets</t>
    <phoneticPr fontId="13"/>
  </si>
  <si>
    <t>Stock-flow adjustment FDI liabilities</t>
    <phoneticPr fontId="13"/>
  </si>
  <si>
    <t>rate of Stock-flow adjustment FDI assets</t>
    <phoneticPr fontId="13"/>
  </si>
  <si>
    <t>rate of Stock-flow adjustment FDI liabilities</t>
    <phoneticPr fontId="13"/>
  </si>
  <si>
    <t>real rate of Stock-flow adjustment FDI assets</t>
    <phoneticPr fontId="13"/>
  </si>
  <si>
    <t>real rate of Stock-flow adjustment FDI liabilities</t>
    <phoneticPr fontId="13"/>
  </si>
  <si>
    <t>rate differential Stock-flow adjustment FDI</t>
    <phoneticPr fontId="13"/>
  </si>
  <si>
    <t>stock-flow adjustment portfolio equity assets</t>
    <phoneticPr fontId="13"/>
  </si>
  <si>
    <t>stock-flow adjustment portfolio equity liabilities</t>
    <phoneticPr fontId="13"/>
  </si>
  <si>
    <t>rate of stock-flow adjustment  portfolio equity assets</t>
    <phoneticPr fontId="13"/>
  </si>
  <si>
    <t>rate of stock-flow adjustment  portfolio equity liabilities</t>
    <phoneticPr fontId="4"/>
  </si>
  <si>
    <t>real rate of stock-flow adjustment  portfolio equity assets</t>
    <phoneticPr fontId="13"/>
  </si>
  <si>
    <t>real rate of stock-flow adjustment  portfolio equity liabilities</t>
    <phoneticPr fontId="13"/>
  </si>
  <si>
    <t>rate differential stock-flow adjustment  equity</t>
    <phoneticPr fontId="4"/>
  </si>
  <si>
    <t>stock-flow adjustment  portfolio debt assets</t>
    <phoneticPr fontId="13"/>
  </si>
  <si>
    <t>stock-flow adjustment  portfolio debt liabilities</t>
    <phoneticPr fontId="13"/>
  </si>
  <si>
    <t>rate of stock-flow adjustment  portfolio debt assets</t>
    <phoneticPr fontId="13"/>
  </si>
  <si>
    <t>rate of stock-flow adjustment  portfolio debt liabilities</t>
    <phoneticPr fontId="13"/>
  </si>
  <si>
    <t>real rate of stock-flow adjustment  portfolio debt assets</t>
    <phoneticPr fontId="13"/>
  </si>
  <si>
    <t>real rate of stock-flow adjustment  portfolio debt liabilities</t>
    <phoneticPr fontId="13"/>
  </si>
  <si>
    <t>rate differential stock-flow adjustment  debt</t>
    <phoneticPr fontId="13"/>
  </si>
  <si>
    <t>stock-flow adjustment  other investment  assets</t>
    <phoneticPr fontId="13"/>
  </si>
  <si>
    <t>stock-flow adjustment  other investment  liabilities</t>
    <phoneticPr fontId="13"/>
  </si>
  <si>
    <t>rate of stock-flow adjustment  other investment  assets</t>
    <phoneticPr fontId="13"/>
  </si>
  <si>
    <t>rate of stock-flow adjustment  other investment liabilities</t>
    <phoneticPr fontId="13"/>
  </si>
  <si>
    <t>real rate of stock-flow adjustment other investment  assets</t>
    <phoneticPr fontId="13"/>
  </si>
  <si>
    <t>real rate of stock-flow adjustment  other investment liabilities</t>
    <phoneticPr fontId="13"/>
  </si>
  <si>
    <t>rate differential stock-flow adjustment  other investment</t>
    <phoneticPr fontId="13"/>
  </si>
  <si>
    <t xml:space="preserve">changes in reserves </t>
    <phoneticPr fontId="13"/>
  </si>
  <si>
    <t>stock-flow adjustment  reserves</t>
    <phoneticPr fontId="4"/>
  </si>
  <si>
    <t>rate of return, stock-flow adjustment  reserves</t>
    <phoneticPr fontId="4"/>
  </si>
  <si>
    <t>real rate of return, stock-flow adjustment  reserves</t>
    <phoneticPr fontId="4"/>
  </si>
  <si>
    <t>stock-flow adjustment including FX</t>
    <phoneticPr fontId="4"/>
  </si>
  <si>
    <t>stock-flow adjustment  assets</t>
    <phoneticPr fontId="4"/>
  </si>
  <si>
    <t>stock-flow adjustment FDI assets</t>
    <phoneticPr fontId="4"/>
  </si>
  <si>
    <t>stock-flow adjustment  equity assets</t>
    <phoneticPr fontId="4"/>
  </si>
  <si>
    <t>stock-flow adjustment  debt assets</t>
    <phoneticPr fontId="4"/>
  </si>
  <si>
    <t>stock-flow adjustment  other investment assets</t>
    <phoneticPr fontId="4"/>
  </si>
  <si>
    <t>stock-flow adjustment  reserves</t>
    <phoneticPr fontId="4"/>
  </si>
  <si>
    <t>stock-flow adjustment  liabilities</t>
    <phoneticPr fontId="4"/>
  </si>
  <si>
    <t>stock-flow adjustment  FDI liabilities</t>
    <phoneticPr fontId="4"/>
  </si>
  <si>
    <t>stock-flow adjustment  equity liabilities</t>
    <phoneticPr fontId="4"/>
  </si>
  <si>
    <t>stock-flow adjustment  debt liabilities</t>
    <phoneticPr fontId="4"/>
  </si>
  <si>
    <t>stock-flow adjustment  other investment liabilities</t>
    <phoneticPr fontId="4"/>
  </si>
  <si>
    <t>real rate of stock-flow adjustment  assets</t>
    <phoneticPr fontId="4"/>
  </si>
  <si>
    <t>real rate of stock-flow adjustment  FDI assets</t>
    <phoneticPr fontId="4"/>
  </si>
  <si>
    <t>real rate of stock-flow adjustment  equity assets</t>
    <phoneticPr fontId="4"/>
  </si>
  <si>
    <t>real rate of stock-flow adjustment  debt assets</t>
    <phoneticPr fontId="4"/>
  </si>
  <si>
    <t>real rate of stock-flow adjustment  other investment assets</t>
    <phoneticPr fontId="4"/>
  </si>
  <si>
    <t>real rate of stock-flow adjustment reserves</t>
    <phoneticPr fontId="4"/>
  </si>
  <si>
    <t>real rate of stock-flow adjustment  liabilities</t>
    <phoneticPr fontId="4"/>
  </si>
  <si>
    <t>real rate of stock-flow adjustment  FDI liabilities</t>
    <phoneticPr fontId="4"/>
  </si>
  <si>
    <t>real rate of stock-flow adjustment  equity liabilities</t>
    <phoneticPr fontId="4"/>
  </si>
  <si>
    <t>real rate of stock-flow adjustment  debt liabilities</t>
    <phoneticPr fontId="4"/>
  </si>
  <si>
    <t>real rate of stock-flow adjustment  other investment liabilities</t>
    <phoneticPr fontId="4"/>
  </si>
  <si>
    <t>stock-flow adjustment rate differential</t>
    <phoneticPr fontId="4"/>
  </si>
  <si>
    <t xml:space="preserve">stock-flow adjustment </t>
  </si>
  <si>
    <t xml:space="preserve">stock-flow adjustment </t>
    <phoneticPr fontId="4"/>
  </si>
  <si>
    <t>stock-flow adjustment  assets</t>
    <phoneticPr fontId="4"/>
  </si>
  <si>
    <t>stock-flow adjustment rate differential, ex FX change</t>
    <phoneticPr fontId="4"/>
  </si>
  <si>
    <t>stock-flow adjustment  (billion yen)</t>
    <phoneticPr fontId="4"/>
  </si>
  <si>
    <t xml:space="preserve">Real rate of stock-flow adjustment </t>
    <phoneticPr fontId="4"/>
  </si>
  <si>
    <t xml:space="preserve">stock-flow adjustment  total return effect </t>
    <phoneticPr fontId="4"/>
  </si>
  <si>
    <t>stock-flow adjustment total composition effect</t>
    <phoneticPr fontId="4"/>
  </si>
  <si>
    <t>stock-flow adjustment  assets</t>
    <phoneticPr fontId="4"/>
  </si>
  <si>
    <t>stock-flow adjustment  liabilities</t>
    <phoneticPr fontId="4"/>
  </si>
  <si>
    <t>Real rate of return stock-flow adjustment  assets</t>
    <phoneticPr fontId="4"/>
  </si>
  <si>
    <t>Real rate of return stock-flow adjustment  liabilities</t>
    <phoneticPr fontId="4"/>
  </si>
  <si>
    <t>stock-flow adjustment  FDI assets</t>
    <phoneticPr fontId="4"/>
  </si>
  <si>
    <t>stock-flow adjustment  equity assets</t>
    <phoneticPr fontId="4"/>
  </si>
  <si>
    <t>stock-flow adjustment  debt assets</t>
    <phoneticPr fontId="4"/>
  </si>
  <si>
    <t>stock-flow adjustment  derivatives assets</t>
    <phoneticPr fontId="4"/>
  </si>
  <si>
    <t>stock-flow adjustment  other investment assets</t>
    <phoneticPr fontId="4"/>
  </si>
  <si>
    <t>stock-flow adjustment  debt liabilities</t>
    <phoneticPr fontId="4"/>
  </si>
  <si>
    <t>stock-flow adjustment  derivatives liabilities</t>
    <phoneticPr fontId="4"/>
  </si>
  <si>
    <t>stock-flow adjustment  other investment liabilities</t>
    <phoneticPr fontId="4"/>
  </si>
  <si>
    <t>Real rate of stock-flow adjustment  assets</t>
    <phoneticPr fontId="4"/>
  </si>
  <si>
    <t>Real rate of stock-flow adjustment  FDI assets</t>
    <phoneticPr fontId="4"/>
  </si>
  <si>
    <t>Real rate of stock-flow adjustment equity assets</t>
    <phoneticPr fontId="4"/>
  </si>
  <si>
    <t>Real rate of stock-flow adjustment debt assets</t>
    <phoneticPr fontId="4"/>
  </si>
  <si>
    <t>Real rate of stock-flow adjustment derivatives assets</t>
    <phoneticPr fontId="4"/>
  </si>
  <si>
    <t>Real rate of stock-flow adjustment  other investment assets</t>
    <phoneticPr fontId="4"/>
  </si>
  <si>
    <t>Real rate of stock-flow adjustment  reserves</t>
    <phoneticPr fontId="4"/>
  </si>
  <si>
    <t>Real rate of stock-flow adjustment  liabilities</t>
    <phoneticPr fontId="4"/>
  </si>
  <si>
    <t>Real rate of stock-flow adjustment  FDI liabilities</t>
    <phoneticPr fontId="4"/>
  </si>
  <si>
    <t>Real rate of stock-flow adjustment  equity liabilities</t>
    <phoneticPr fontId="4"/>
  </si>
  <si>
    <t>Real rate of stock-flow adjustment  debt liabilities</t>
    <phoneticPr fontId="4"/>
  </si>
  <si>
    <t>Real rate of stock-flow adjustment  derivatives liabilities</t>
    <phoneticPr fontId="4"/>
  </si>
  <si>
    <t>Real rate of stock-flow adjustment  other investment liabilities</t>
    <phoneticPr fontId="4"/>
  </si>
  <si>
    <t>stock-flow adjustment rate differential</t>
    <phoneticPr fontId="4"/>
  </si>
  <si>
    <t>average1996-2013</t>
    <phoneticPr fontId="4"/>
  </si>
  <si>
    <t>average 1996-2013</t>
    <phoneticPr fontId="4"/>
  </si>
  <si>
    <t>average 2001-2013</t>
    <phoneticPr fontId="4"/>
  </si>
  <si>
    <t>Table1 : Returns Differential Estimates, 1996-2013</t>
    <phoneticPr fontId="13"/>
  </si>
  <si>
    <t>Table2: Returns Differential Estimates, excluding fx effect, 2001-2013</t>
    <phoneticPr fontId="13"/>
  </si>
  <si>
    <t>Table 3: Return effect and composition effect, 1996-2013</t>
    <phoneticPr fontId="4"/>
  </si>
  <si>
    <t>1977-2013</t>
    <phoneticPr fontId="4"/>
  </si>
  <si>
    <t>Returns Differential Estimates, fx effect (including derivatives), 2001-2013</t>
    <phoneticPr fontId="13"/>
  </si>
  <si>
    <t>(Lane and Milesi-Ferreti, MOF/BOJ)</t>
    <phoneticPr fontId="4"/>
  </si>
  <si>
    <t>source International Historical Statistics IFS, BOP stats, Lane and Milesi-Ferreti and Ministry of Finance/Bank of Japan. The cumulated current series starts with the Japan net international investment position at the end of 1969 then cumulates subsequent Japan current account balances.</t>
    <phoneticPr fontId="4"/>
  </si>
  <si>
    <t xml:space="preserve">FX Reserves </t>
    <phoneticPr fontId="4"/>
  </si>
  <si>
    <t>Billion USD</t>
    <phoneticPr fontId="4"/>
  </si>
  <si>
    <t>Lane and Miresi-Ferretti, BOJ/MOF</t>
    <phoneticPr fontId="4"/>
  </si>
  <si>
    <t>Figure 3. Net foreign assets (bars, left axis) and net investment income (line, right axis), 1970-2013 (as a percent of GDP)</t>
    <phoneticPr fontId="4"/>
  </si>
  <si>
    <t>billion USD</t>
    <phoneticPr fontId="4"/>
  </si>
  <si>
    <t>NFA: Lane and Milesi-Ferretti (2007, updated) and Ministry of Finance/Bank of Japan</t>
    <phoneticPr fontId="4"/>
  </si>
  <si>
    <t>BOJ/MOF</t>
    <phoneticPr fontId="4"/>
  </si>
  <si>
    <t>net investment income</t>
    <phoneticPr fontId="4"/>
  </si>
  <si>
    <t>billion yen</t>
    <phoneticPr fontId="4"/>
  </si>
  <si>
    <t>Figure 5: Japan: Short-term and long-term debt composition of portfolio debt liabilities (left axis) and its yield (right axis), 1996–2013</t>
    <phoneticPr fontId="4"/>
  </si>
  <si>
    <t>stock-flow adjustment effects</t>
    <phoneticPr fontId="4"/>
  </si>
  <si>
    <t>Source, Lane and Milesi-Ferretti (2007, updated) and IMF, Balance of Payments statistics, Bank of Japan/Ministry of Finance, IMF International Financial Statistics</t>
    <phoneticPr fontId="4"/>
  </si>
  <si>
    <t>Figure 4: Japan: Composition of gross external assets and liabilities, 1970–2013, in billion US dollar</t>
    <phoneticPr fontId="4"/>
  </si>
  <si>
    <t>Source: Lane and Milesi-Ferretti (2007, updated), IMF, Balance of Payments statistics, Bank of Japan/Ministry of Finance International Investment Position, IMF International Financial Statistics</t>
    <phoneticPr fontId="4"/>
  </si>
  <si>
    <r>
      <t>1996-2013</t>
    </r>
    <r>
      <rPr>
        <vertAlign val="superscript"/>
        <sz val="12"/>
        <color theme="1"/>
        <rFont val="Times New Roman"/>
      </rPr>
      <t>1</t>
    </r>
    <phoneticPr fontId="4"/>
  </si>
  <si>
    <r>
      <t>1977-1995</t>
    </r>
    <r>
      <rPr>
        <vertAlign val="superscript"/>
        <sz val="12"/>
        <color theme="1"/>
        <rFont val="Times New Roman"/>
      </rPr>
      <t>2</t>
    </r>
    <phoneticPr fontId="4"/>
  </si>
  <si>
    <r>
      <t>Total</t>
    </r>
    <r>
      <rPr>
        <vertAlign val="superscript"/>
        <sz val="12"/>
        <color theme="1"/>
        <rFont val="Times New Roman"/>
      </rPr>
      <t>1</t>
    </r>
    <phoneticPr fontId="4"/>
  </si>
  <si>
    <r>
      <t>Yield</t>
    </r>
    <r>
      <rPr>
        <vertAlign val="superscript"/>
        <sz val="12"/>
        <color theme="1"/>
        <rFont val="Times New Roman"/>
      </rPr>
      <t>1</t>
    </r>
    <phoneticPr fontId="4"/>
  </si>
  <si>
    <r>
      <t>Stock-flow adjustment effects</t>
    </r>
    <r>
      <rPr>
        <vertAlign val="superscript"/>
        <sz val="12"/>
        <color theme="1"/>
        <rFont val="Times New Roman"/>
      </rPr>
      <t>1</t>
    </r>
    <phoneticPr fontId="4"/>
  </si>
  <si>
    <t>1995–1999</t>
    <phoneticPr fontId="4"/>
  </si>
  <si>
    <t>2000–2001</t>
    <phoneticPr fontId="4"/>
  </si>
  <si>
    <t>2002–2004</t>
    <phoneticPr fontId="4"/>
  </si>
  <si>
    <r>
      <t>1981-2003</t>
    </r>
    <r>
      <rPr>
        <vertAlign val="superscript"/>
        <sz val="12"/>
        <color theme="1"/>
        <rFont val="Times New Roman"/>
      </rPr>
      <t xml:space="preserve"> 2</t>
    </r>
    <phoneticPr fontId="4"/>
  </si>
  <si>
    <t>2002–2004</t>
    <phoneticPr fontId="4"/>
  </si>
  <si>
    <t xml:space="preserve">inflation </t>
    <phoneticPr fontId="4"/>
  </si>
  <si>
    <t>portfolio debt+reserve yield</t>
    <phoneticPr fontId="4"/>
  </si>
  <si>
    <t>percent</t>
  </si>
  <si>
    <t>Total return on liabilities</t>
    <phoneticPr fontId="4"/>
  </si>
  <si>
    <t>Total return on assets</t>
    <phoneticPr fontId="4"/>
  </si>
  <si>
    <t>percent</t>
    <phoneticPr fontId="4"/>
  </si>
  <si>
    <t>USD/JPY exchange rate period average</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</si>
</sst>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7" formatCode="0.00000"/>
    <numFmt numFmtId="178" formatCode="_(* #,##0_);_(* \(#,##0\);_(* &quot;-&quot;??_);_(@_)"/>
    <numFmt numFmtId="179" formatCode="0.0_ "/>
    <numFmt numFmtId="180" formatCode="0.0_);[Red]\(0.0\)"/>
    <numFmt numFmtId="181" formatCode="0.00_ "/>
    <numFmt numFmtId="182" formatCode="0_ "/>
    <numFmt numFmtId="183" formatCode="0.0000_ "/>
    <numFmt numFmtId="184" formatCode="#,##0_ "/>
  </numFmts>
  <fonts count="22" x14ac:knownFonts="1">
    <font>
      <sz val="12"/>
      <color theme="1"/>
      <name val="ＭＳ Ｐゴシック"/>
      <family val="2"/>
      <charset val="128"/>
      <scheme val="minor"/>
    </font>
    <font>
      <sz val="12"/>
      <color theme="1"/>
      <name val="ＭＳ Ｐゴシック"/>
      <family val="2"/>
      <charset val="128"/>
      <scheme val="minor"/>
    </font>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0"/>
      <name val="Times New Roman"/>
      <family val="1"/>
    </font>
    <font>
      <sz val="10"/>
      <name val="Arial"/>
      <family val="2"/>
    </font>
    <font>
      <sz val="10"/>
      <color indexed="81"/>
      <name val="ＭＳ Ｐゴシック"/>
      <family val="2"/>
      <charset val="128"/>
    </font>
    <font>
      <b/>
      <sz val="10"/>
      <color indexed="81"/>
      <name val="ＭＳ Ｐゴシック"/>
      <family val="2"/>
      <charset val="128"/>
    </font>
    <font>
      <sz val="12"/>
      <color rgb="FF000000"/>
      <name val="Times New Roman"/>
    </font>
    <font>
      <sz val="12"/>
      <color theme="1"/>
      <name val="Times New Roman"/>
    </font>
    <font>
      <sz val="6"/>
      <name val="ＭＳ Ｐゴシック"/>
      <family val="2"/>
      <charset val="128"/>
    </font>
    <font>
      <sz val="12"/>
      <color theme="1"/>
      <name val="Calibri (テーマの本文)"/>
      <charset val="128"/>
    </font>
    <font>
      <sz val="12"/>
      <name val="ＭＳ Ｐゴシック"/>
      <family val="2"/>
      <charset val="128"/>
      <scheme val="minor"/>
    </font>
    <font>
      <sz val="12"/>
      <name val="Times New Roman"/>
    </font>
    <font>
      <sz val="10"/>
      <color theme="1"/>
      <name val="Calibri (テーマの本文)"/>
      <charset val="128"/>
    </font>
    <font>
      <u/>
      <sz val="12"/>
      <color theme="10"/>
      <name val="Times New Roman"/>
    </font>
    <font>
      <sz val="10"/>
      <color theme="1"/>
      <name val="Times New Roman"/>
    </font>
    <font>
      <sz val="10"/>
      <color rgb="FF000000"/>
      <name val="Times New Roman"/>
    </font>
    <font>
      <vertAlign val="superscript"/>
      <sz val="12"/>
      <color theme="1"/>
      <name val="Times New Roman"/>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8">
    <border>
      <left/>
      <right/>
      <top/>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s>
  <cellStyleXfs count="85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40" fontId="3"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8"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0"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33">
    <xf numFmtId="0" fontId="0" fillId="0" borderId="0" xfId="0"/>
    <xf numFmtId="0" fontId="0" fillId="0" borderId="0" xfId="0" applyAlignment="1">
      <alignment wrapText="1"/>
    </xf>
    <xf numFmtId="0" fontId="7" fillId="0" borderId="0" xfId="18"/>
    <xf numFmtId="3" fontId="7" fillId="0" borderId="0" xfId="18" applyNumberFormat="1"/>
    <xf numFmtId="177" fontId="8" fillId="0" borderId="0" xfId="20" applyNumberFormat="1" applyFill="1"/>
    <xf numFmtId="0" fontId="11" fillId="0" borderId="0" xfId="0" applyFont="1"/>
    <xf numFmtId="180" fontId="11" fillId="0" borderId="0" xfId="0" applyNumberFormat="1" applyFont="1"/>
    <xf numFmtId="180" fontId="12" fillId="0" borderId="0" xfId="0" applyNumberFormat="1" applyFont="1"/>
    <xf numFmtId="179" fontId="12" fillId="0" borderId="0" xfId="0" applyNumberFormat="1" applyFont="1"/>
    <xf numFmtId="0" fontId="12" fillId="0" borderId="0" xfId="0" applyFont="1" applyAlignment="1">
      <alignment wrapText="1"/>
    </xf>
    <xf numFmtId="180" fontId="12" fillId="0" borderId="0" xfId="0" applyNumberFormat="1" applyFont="1" applyAlignment="1">
      <alignment wrapText="1"/>
    </xf>
    <xf numFmtId="0" fontId="12" fillId="0" borderId="0" xfId="0" applyFont="1"/>
    <xf numFmtId="3" fontId="0" fillId="0" borderId="0" xfId="0" applyNumberFormat="1"/>
    <xf numFmtId="0" fontId="12" fillId="0" borderId="1" xfId="0" applyFont="1" applyFill="1" applyBorder="1" applyAlignment="1">
      <alignment wrapText="1"/>
    </xf>
    <xf numFmtId="0" fontId="12" fillId="0" borderId="0" xfId="0" applyFont="1" applyFill="1" applyAlignment="1">
      <alignment wrapText="1"/>
    </xf>
    <xf numFmtId="181" fontId="12" fillId="0" borderId="0" xfId="0" applyNumberFormat="1" applyFont="1" applyFill="1" applyAlignment="1">
      <alignment wrapText="1"/>
    </xf>
    <xf numFmtId="182" fontId="12" fillId="0" borderId="0" xfId="0" applyNumberFormat="1" applyFont="1" applyFill="1" applyAlignment="1">
      <alignment wrapText="1"/>
    </xf>
    <xf numFmtId="181" fontId="12" fillId="0" borderId="1" xfId="0" applyNumberFormat="1" applyFont="1" applyFill="1" applyBorder="1" applyAlignment="1">
      <alignment wrapText="1"/>
    </xf>
    <xf numFmtId="181" fontId="12" fillId="0" borderId="0" xfId="0" applyNumberFormat="1" applyFont="1" applyFill="1" applyBorder="1" applyAlignment="1">
      <alignment wrapText="1"/>
    </xf>
    <xf numFmtId="0" fontId="12" fillId="0" borderId="0" xfId="0" applyFont="1" applyFill="1" applyBorder="1" applyAlignment="1">
      <alignment wrapText="1"/>
    </xf>
    <xf numFmtId="181" fontId="0" fillId="0" borderId="0" xfId="0" applyNumberFormat="1"/>
    <xf numFmtId="181" fontId="12" fillId="0" borderId="0" xfId="0" applyNumberFormat="1" applyFont="1"/>
    <xf numFmtId="182" fontId="0" fillId="0" borderId="0" xfId="0" applyNumberFormat="1"/>
    <xf numFmtId="182" fontId="12" fillId="0" borderId="0" xfId="0" applyNumberFormat="1" applyFont="1"/>
    <xf numFmtId="0" fontId="0" fillId="0" borderId="0" xfId="0" applyAlignment="1">
      <alignment vertical="top" wrapText="1"/>
    </xf>
    <xf numFmtId="0" fontId="0" fillId="2" borderId="0" xfId="0" applyFill="1"/>
    <xf numFmtId="3" fontId="12" fillId="0" borderId="0" xfId="0" applyNumberFormat="1" applyFont="1"/>
    <xf numFmtId="4" fontId="12" fillId="0" borderId="0" xfId="0" applyNumberFormat="1" applyFont="1"/>
    <xf numFmtId="0" fontId="14" fillId="0" borderId="0" xfId="0" applyFont="1"/>
    <xf numFmtId="179" fontId="0" fillId="2" borderId="0" xfId="0" applyNumberFormat="1" applyFill="1"/>
    <xf numFmtId="0" fontId="7" fillId="0" borderId="0" xfId="18" applyFont="1"/>
    <xf numFmtId="0" fontId="7" fillId="0" borderId="0" xfId="18" applyFont="1" applyFill="1"/>
    <xf numFmtId="3" fontId="7" fillId="0" borderId="0" xfId="18" applyNumberFormat="1" applyFont="1" applyFill="1"/>
    <xf numFmtId="3" fontId="7" fillId="0" borderId="0" xfId="3" applyNumberFormat="1" applyFont="1" applyFill="1" applyAlignment="1">
      <alignment horizontal="center" vertical="center" wrapText="1"/>
    </xf>
    <xf numFmtId="178" fontId="7" fillId="0" borderId="0" xfId="3" applyNumberFormat="1" applyFont="1" applyFill="1" applyAlignment="1">
      <alignment horizontal="center" vertical="center" wrapText="1"/>
    </xf>
    <xf numFmtId="0" fontId="15" fillId="0" borderId="0" xfId="0" applyFont="1" applyFill="1"/>
    <xf numFmtId="0" fontId="16" fillId="0" borderId="0" xfId="0" applyFont="1" applyFill="1"/>
    <xf numFmtId="0" fontId="17" fillId="2" borderId="0" xfId="0" applyFont="1" applyFill="1"/>
    <xf numFmtId="0" fontId="17" fillId="2" borderId="5" xfId="0" applyFont="1" applyFill="1" applyBorder="1"/>
    <xf numFmtId="0" fontId="17" fillId="2" borderId="5" xfId="0" applyFont="1" applyFill="1" applyBorder="1" applyAlignment="1">
      <alignment horizontal="center"/>
    </xf>
    <xf numFmtId="179" fontId="17" fillId="2" borderId="5" xfId="0" applyNumberFormat="1" applyFont="1" applyFill="1" applyBorder="1" applyAlignment="1">
      <alignment horizontal="center"/>
    </xf>
    <xf numFmtId="181" fontId="16" fillId="0" borderId="0" xfId="0" applyNumberFormat="1" applyFont="1" applyFill="1"/>
    <xf numFmtId="181" fontId="7" fillId="0" borderId="0" xfId="3" applyNumberFormat="1" applyFont="1" applyFill="1" applyAlignment="1">
      <alignment horizontal="center" vertical="center" wrapText="1"/>
    </xf>
    <xf numFmtId="183" fontId="12" fillId="0" borderId="0" xfId="0" applyNumberFormat="1" applyFont="1"/>
    <xf numFmtId="179" fontId="12" fillId="0" borderId="0" xfId="0" applyNumberFormat="1" applyFont="1" applyAlignment="1">
      <alignment wrapText="1"/>
    </xf>
    <xf numFmtId="0" fontId="5" fillId="0" borderId="0" xfId="639"/>
    <xf numFmtId="3" fontId="12" fillId="0" borderId="1" xfId="0" applyNumberFormat="1" applyFont="1" applyBorder="1"/>
    <xf numFmtId="0" fontId="12" fillId="0" borderId="1" xfId="0" applyFont="1" applyBorder="1"/>
    <xf numFmtId="15" fontId="12" fillId="0" borderId="0" xfId="0" applyNumberFormat="1" applyFont="1"/>
    <xf numFmtId="0" fontId="18" fillId="0" borderId="0" xfId="639" applyFont="1"/>
    <xf numFmtId="180" fontId="12" fillId="0" borderId="0" xfId="0" applyNumberFormat="1" applyFont="1" applyAlignment="1"/>
    <xf numFmtId="180" fontId="11" fillId="0" borderId="1" xfId="0" applyNumberFormat="1" applyFont="1" applyBorder="1"/>
    <xf numFmtId="180" fontId="12" fillId="0" borderId="1" xfId="0" applyNumberFormat="1" applyFont="1" applyBorder="1" applyAlignment="1">
      <alignment wrapText="1"/>
    </xf>
    <xf numFmtId="179" fontId="12" fillId="0" borderId="1" xfId="0" applyNumberFormat="1" applyFont="1" applyBorder="1"/>
    <xf numFmtId="181" fontId="12" fillId="0" borderId="2" xfId="0" applyNumberFormat="1" applyFont="1" applyBorder="1"/>
    <xf numFmtId="0" fontId="11" fillId="0" borderId="0" xfId="0" applyFont="1" applyAlignment="1">
      <alignment wrapText="1"/>
    </xf>
    <xf numFmtId="181" fontId="12" fillId="0" borderId="2" xfId="0" applyNumberFormat="1" applyFont="1" applyBorder="1" applyAlignment="1">
      <alignment wrapText="1"/>
    </xf>
    <xf numFmtId="181" fontId="12" fillId="0" borderId="0" xfId="0" applyNumberFormat="1" applyFont="1" applyAlignment="1">
      <alignment wrapText="1"/>
    </xf>
    <xf numFmtId="182" fontId="12" fillId="0" borderId="0" xfId="0" applyNumberFormat="1" applyFont="1" applyAlignment="1">
      <alignment wrapText="1"/>
    </xf>
    <xf numFmtId="0" fontId="12" fillId="0" borderId="0" xfId="0" applyNumberFormat="1" applyFont="1" applyAlignment="1">
      <alignment wrapText="1"/>
    </xf>
    <xf numFmtId="0" fontId="11" fillId="0" borderId="0" xfId="0" applyNumberFormat="1" applyFont="1" applyAlignment="1">
      <alignment wrapText="1"/>
    </xf>
    <xf numFmtId="0" fontId="12" fillId="0" borderId="0" xfId="0" applyNumberFormat="1" applyFont="1"/>
    <xf numFmtId="0" fontId="11" fillId="0" borderId="0" xfId="0" applyNumberFormat="1" applyFont="1"/>
    <xf numFmtId="3" fontId="7" fillId="0" borderId="0" xfId="18" applyNumberFormat="1" applyFont="1" applyAlignment="1">
      <alignment horizontal="right"/>
    </xf>
    <xf numFmtId="3" fontId="7" fillId="0" borderId="0" xfId="3" applyNumberFormat="1" applyFont="1" applyFill="1" applyAlignment="1">
      <alignment horizontal="right" vertical="center" wrapText="1"/>
    </xf>
    <xf numFmtId="178" fontId="7" fillId="0" borderId="0" xfId="3" applyNumberFormat="1" applyFont="1" applyFill="1" applyAlignment="1">
      <alignment horizontal="right" vertical="center" wrapText="1"/>
    </xf>
    <xf numFmtId="0" fontId="0" fillId="0" borderId="0" xfId="0" applyAlignment="1"/>
    <xf numFmtId="182" fontId="12" fillId="0" borderId="0" xfId="0" applyNumberFormat="1" applyFont="1" applyAlignment="1">
      <alignment horizontal="center"/>
    </xf>
    <xf numFmtId="0" fontId="12" fillId="0" borderId="0" xfId="0" applyFont="1" applyAlignment="1">
      <alignment horizontal="center"/>
    </xf>
    <xf numFmtId="182" fontId="12" fillId="0" borderId="0" xfId="0" applyNumberFormat="1" applyFont="1" applyAlignment="1">
      <alignment horizontal="left"/>
    </xf>
    <xf numFmtId="0" fontId="7" fillId="0" borderId="0" xfId="18" applyFont="1" applyFill="1" applyAlignment="1">
      <alignment horizontal="center" vertical="center"/>
    </xf>
    <xf numFmtId="0" fontId="16" fillId="0" borderId="0" xfId="0" applyFont="1" applyFill="1" applyAlignment="1">
      <alignment horizontal="center" vertical="center"/>
    </xf>
    <xf numFmtId="181" fontId="16" fillId="0" borderId="0" xfId="0" applyNumberFormat="1" applyFont="1" applyFill="1" applyAlignment="1">
      <alignment horizontal="center" vertical="center" wrapText="1"/>
    </xf>
    <xf numFmtId="181" fontId="16" fillId="0" borderId="0" xfId="0" applyNumberFormat="1" applyFont="1" applyFill="1" applyAlignment="1">
      <alignment horizontal="center" vertical="center"/>
    </xf>
    <xf numFmtId="0" fontId="15" fillId="0" borderId="0" xfId="0" applyFont="1" applyFill="1" applyAlignment="1">
      <alignment horizontal="center" vertical="center"/>
    </xf>
    <xf numFmtId="0" fontId="16" fillId="0" borderId="0" xfId="18" applyFont="1"/>
    <xf numFmtId="3" fontId="7" fillId="0" borderId="0" xfId="18" applyNumberFormat="1" applyFont="1"/>
    <xf numFmtId="177" fontId="7" fillId="0" borderId="0" xfId="20" applyNumberFormat="1" applyFont="1" applyFill="1"/>
    <xf numFmtId="0" fontId="19" fillId="0" borderId="0" xfId="0" applyFont="1"/>
    <xf numFmtId="182" fontId="7" fillId="0" borderId="0" xfId="18" applyNumberFormat="1" applyFont="1"/>
    <xf numFmtId="182" fontId="20" fillId="0" borderId="0" xfId="0" applyNumberFormat="1" applyFont="1"/>
    <xf numFmtId="0" fontId="12" fillId="0" borderId="0" xfId="0" applyFont="1" applyAlignment="1">
      <alignment vertical="top" wrapText="1"/>
    </xf>
    <xf numFmtId="182" fontId="11" fillId="0" borderId="0" xfId="0" applyNumberFormat="1" applyFont="1" applyAlignment="1">
      <alignment vertical="top" wrapText="1"/>
    </xf>
    <xf numFmtId="182" fontId="12" fillId="0" borderId="0" xfId="0" applyNumberFormat="1" applyFont="1" applyAlignment="1">
      <alignment vertical="top" wrapText="1"/>
    </xf>
    <xf numFmtId="181" fontId="12" fillId="0" borderId="0" xfId="0" applyNumberFormat="1" applyFont="1" applyAlignment="1">
      <alignment vertical="top" wrapText="1"/>
    </xf>
    <xf numFmtId="181" fontId="7" fillId="0" borderId="0" xfId="18" applyNumberFormat="1" applyFont="1"/>
    <xf numFmtId="0" fontId="16" fillId="0" borderId="0" xfId="639" applyFont="1"/>
    <xf numFmtId="184" fontId="7" fillId="0" borderId="0" xfId="18" applyNumberFormat="1" applyFont="1" applyAlignment="1"/>
    <xf numFmtId="184" fontId="19" fillId="0" borderId="0" xfId="0" applyNumberFormat="1" applyFont="1" applyAlignment="1"/>
    <xf numFmtId="3" fontId="0" fillId="0" borderId="0" xfId="0" applyNumberFormat="1" applyAlignment="1"/>
    <xf numFmtId="0" fontId="12" fillId="0" borderId="0" xfId="0" applyFont="1" applyBorder="1"/>
    <xf numFmtId="182" fontId="11" fillId="0" borderId="0" xfId="0" applyNumberFormat="1" applyFont="1"/>
    <xf numFmtId="179" fontId="12" fillId="0" borderId="7" xfId="0" applyNumberFormat="1" applyFont="1" applyBorder="1"/>
    <xf numFmtId="0" fontId="12" fillId="2" borderId="0" xfId="0" applyFont="1" applyFill="1"/>
    <xf numFmtId="0" fontId="11" fillId="3" borderId="0" xfId="0" applyFont="1" applyFill="1"/>
    <xf numFmtId="0" fontId="12" fillId="0" borderId="0" xfId="0" applyFont="1" applyAlignment="1"/>
    <xf numFmtId="0" fontId="12" fillId="2" borderId="0" xfId="0" applyFont="1" applyFill="1" applyAlignment="1"/>
    <xf numFmtId="0" fontId="12" fillId="2" borderId="0" xfId="0" applyFont="1" applyFill="1" applyAlignment="1">
      <alignment vertical="center"/>
    </xf>
    <xf numFmtId="181" fontId="12" fillId="2" borderId="0" xfId="0" applyNumberFormat="1" applyFont="1" applyFill="1"/>
    <xf numFmtId="181" fontId="12" fillId="2" borderId="0" xfId="0" applyNumberFormat="1" applyFont="1" applyFill="1" applyAlignment="1">
      <alignment vertical="top"/>
    </xf>
    <xf numFmtId="181" fontId="12" fillId="2" borderId="0" xfId="0" applyNumberFormat="1" applyFont="1" applyFill="1" applyAlignment="1">
      <alignment wrapText="1"/>
    </xf>
    <xf numFmtId="181" fontId="12" fillId="2" borderId="0" xfId="0" applyNumberFormat="1" applyFont="1" applyFill="1" applyAlignment="1"/>
    <xf numFmtId="0" fontId="12" fillId="0" borderId="3" xfId="0" applyFont="1" applyBorder="1"/>
    <xf numFmtId="179" fontId="12" fillId="0" borderId="3" xfId="0" applyNumberFormat="1" applyFont="1" applyBorder="1" applyAlignment="1">
      <alignment horizontal="right"/>
    </xf>
    <xf numFmtId="0" fontId="12" fillId="0" borderId="0" xfId="0" applyFont="1" applyAlignment="1">
      <alignment horizontal="right"/>
    </xf>
    <xf numFmtId="179" fontId="12" fillId="0" borderId="0" xfId="0" applyNumberFormat="1" applyFont="1" applyAlignment="1">
      <alignment horizontal="right"/>
    </xf>
    <xf numFmtId="0" fontId="19" fillId="2" borderId="0" xfId="0" applyFont="1" applyFill="1"/>
    <xf numFmtId="0" fontId="19" fillId="2" borderId="5" xfId="0" applyFont="1" applyFill="1" applyBorder="1"/>
    <xf numFmtId="0" fontId="19" fillId="2" borderId="5" xfId="0" applyFont="1" applyFill="1" applyBorder="1" applyAlignment="1">
      <alignment horizontal="center"/>
    </xf>
    <xf numFmtId="179" fontId="19" fillId="2" borderId="5" xfId="0" applyNumberFormat="1" applyFont="1" applyFill="1" applyBorder="1" applyAlignment="1">
      <alignment horizontal="center"/>
    </xf>
    <xf numFmtId="179" fontId="12" fillId="2" borderId="0" xfId="0" applyNumberFormat="1" applyFont="1" applyFill="1"/>
    <xf numFmtId="181" fontId="12" fillId="0" borderId="5" xfId="0" applyNumberFormat="1" applyFont="1" applyBorder="1"/>
    <xf numFmtId="181" fontId="12" fillId="0" borderId="5" xfId="0" applyNumberFormat="1" applyFont="1" applyBorder="1" applyAlignment="1">
      <alignment horizontal="center"/>
    </xf>
    <xf numFmtId="0" fontId="12" fillId="0" borderId="5" xfId="0" applyFont="1" applyBorder="1" applyAlignment="1">
      <alignment horizontal="center"/>
    </xf>
    <xf numFmtId="181" fontId="12" fillId="0" borderId="5" xfId="0" applyNumberFormat="1" applyFont="1" applyBorder="1" applyAlignment="1">
      <alignment horizontal="center" wrapText="1"/>
    </xf>
    <xf numFmtId="0" fontId="12" fillId="0" borderId="6" xfId="0" applyFont="1" applyBorder="1"/>
    <xf numFmtId="179" fontId="12" fillId="0" borderId="6" xfId="0" applyNumberFormat="1" applyFont="1" applyBorder="1" applyAlignment="1">
      <alignment horizontal="center"/>
    </xf>
    <xf numFmtId="179" fontId="12" fillId="0" borderId="6" xfId="0" applyNumberFormat="1" applyFont="1" applyBorder="1" applyAlignment="1">
      <alignment horizontal="center" wrapText="1"/>
    </xf>
    <xf numFmtId="179" fontId="12" fillId="0" borderId="0" xfId="0" applyNumberFormat="1" applyFont="1" applyAlignment="1">
      <alignment horizontal="center"/>
    </xf>
    <xf numFmtId="0" fontId="12" fillId="0" borderId="4" xfId="0" applyFont="1" applyBorder="1"/>
    <xf numFmtId="179" fontId="12" fillId="0" borderId="4" xfId="0" applyNumberFormat="1" applyFont="1" applyBorder="1"/>
    <xf numFmtId="179" fontId="12" fillId="0" borderId="0" xfId="0" applyNumberFormat="1" applyFont="1" applyBorder="1"/>
    <xf numFmtId="0" fontId="19" fillId="0" borderId="0" xfId="18" applyFont="1" applyFill="1"/>
    <xf numFmtId="3" fontId="19" fillId="0" borderId="0" xfId="3" applyNumberFormat="1" applyFont="1" applyFill="1" applyAlignment="1">
      <alignment horizontal="center" vertical="center" wrapText="1"/>
    </xf>
    <xf numFmtId="178" fontId="19" fillId="0" borderId="0" xfId="3" applyNumberFormat="1" applyFont="1" applyFill="1" applyAlignment="1">
      <alignment horizontal="center" vertical="center" wrapText="1"/>
    </xf>
    <xf numFmtId="0" fontId="1" fillId="0" borderId="0" xfId="0" applyFont="1" applyFill="1"/>
    <xf numFmtId="181" fontId="11" fillId="0" borderId="0" xfId="0" applyNumberFormat="1" applyFont="1" applyAlignment="1">
      <alignment wrapText="1"/>
    </xf>
    <xf numFmtId="3" fontId="19" fillId="0" borderId="0" xfId="722" applyNumberFormat="1" applyFont="1" applyFill="1" applyAlignment="1">
      <alignment horizontal="center" vertical="center" wrapText="1"/>
    </xf>
    <xf numFmtId="178" fontId="19" fillId="0" borderId="0" xfId="722" applyNumberFormat="1" applyFont="1" applyFill="1" applyAlignment="1">
      <alignment horizontal="center" vertical="center" wrapText="1"/>
    </xf>
    <xf numFmtId="0" fontId="0" fillId="0" borderId="0" xfId="0" applyFont="1" applyFill="1"/>
    <xf numFmtId="179" fontId="12" fillId="0" borderId="3" xfId="0" applyNumberFormat="1" applyFont="1" applyFill="1" applyBorder="1" applyAlignment="1">
      <alignment horizontal="center"/>
    </xf>
    <xf numFmtId="179" fontId="12" fillId="0" borderId="4" xfId="0" applyNumberFormat="1" applyFont="1" applyFill="1" applyBorder="1" applyAlignment="1">
      <alignment horizontal="center" wrapText="1"/>
    </xf>
    <xf numFmtId="179" fontId="12" fillId="0" borderId="3" xfId="0" applyNumberFormat="1" applyFont="1" applyFill="1" applyBorder="1" applyAlignment="1">
      <alignment horizontal="center" wrapText="1"/>
    </xf>
  </cellXfs>
  <cellStyles count="851">
    <cellStyle name="Normal 7" xfId="18"/>
    <cellStyle name="Normal_er" xfId="20"/>
    <cellStyle name="Percent 3" xfId="19"/>
    <cellStyle name="ハイパーリンク" xfId="1"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ハイパーリンク" xfId="319" builtinId="8" hidden="1"/>
    <cellStyle name="ハイパーリンク" xfId="321" builtinId="8" hidden="1"/>
    <cellStyle name="ハイパーリンク" xfId="323" builtinId="8" hidden="1"/>
    <cellStyle name="ハイパーリンク" xfId="325" builtinId="8" hidden="1"/>
    <cellStyle name="ハイパーリンク" xfId="327" builtinId="8" hidden="1"/>
    <cellStyle name="ハイパーリンク" xfId="329" builtinId="8" hidden="1"/>
    <cellStyle name="ハイパーリンク" xfId="331" builtinId="8" hidden="1"/>
    <cellStyle name="ハイパーリンク" xfId="333" builtinId="8" hidden="1"/>
    <cellStyle name="ハイパーリンク" xfId="335" builtinId="8" hidden="1"/>
    <cellStyle name="ハイパーリンク" xfId="337" builtinId="8" hidden="1"/>
    <cellStyle name="ハイパーリンク" xfId="339" builtinId="8" hidden="1"/>
    <cellStyle name="ハイパーリンク" xfId="341" builtinId="8" hidden="1"/>
    <cellStyle name="ハイパーリンク" xfId="343" builtinId="8" hidden="1"/>
    <cellStyle name="ハイパーリンク" xfId="345" builtinId="8" hidden="1"/>
    <cellStyle name="ハイパーリンク" xfId="347" builtinId="8" hidden="1"/>
    <cellStyle name="ハイパーリンク" xfId="349" builtinId="8" hidden="1"/>
    <cellStyle name="ハイパーリンク" xfId="351" builtinId="8" hidden="1"/>
    <cellStyle name="ハイパーリンク" xfId="353" builtinId="8" hidden="1"/>
    <cellStyle name="ハイパーリンク" xfId="355" builtinId="8" hidden="1"/>
    <cellStyle name="ハイパーリンク" xfId="357" builtinId="8" hidden="1"/>
    <cellStyle name="ハイパーリンク" xfId="359" builtinId="8" hidden="1"/>
    <cellStyle name="ハイパーリンク" xfId="361" builtinId="8" hidden="1"/>
    <cellStyle name="ハイパーリンク" xfId="363" builtinId="8" hidden="1"/>
    <cellStyle name="ハイパーリンク" xfId="365" builtinId="8" hidden="1"/>
    <cellStyle name="ハイパーリンク" xfId="367" builtinId="8" hidden="1"/>
    <cellStyle name="ハイパーリンク" xfId="369" builtinId="8" hidden="1"/>
    <cellStyle name="ハイパーリンク" xfId="371" builtinId="8" hidden="1"/>
    <cellStyle name="ハイパーリンク" xfId="373" builtinId="8" hidden="1"/>
    <cellStyle name="ハイパーリンク" xfId="375" builtinId="8" hidden="1"/>
    <cellStyle name="ハイパーリンク" xfId="377" builtinId="8" hidden="1"/>
    <cellStyle name="ハイパーリンク" xfId="379" builtinId="8" hidden="1"/>
    <cellStyle name="ハイパーリンク" xfId="381" builtinId="8" hidden="1"/>
    <cellStyle name="ハイパーリンク" xfId="383" builtinId="8" hidden="1"/>
    <cellStyle name="ハイパーリンク" xfId="385" builtinId="8" hidden="1"/>
    <cellStyle name="ハイパーリンク" xfId="387" builtinId="8" hidden="1"/>
    <cellStyle name="ハイパーリンク" xfId="389" builtinId="8" hidden="1"/>
    <cellStyle name="ハイパーリンク" xfId="391" builtinId="8" hidden="1"/>
    <cellStyle name="ハイパーリンク" xfId="393" builtinId="8" hidden="1"/>
    <cellStyle name="ハイパーリンク" xfId="395" builtinId="8" hidden="1"/>
    <cellStyle name="ハイパーリンク" xfId="397" builtinId="8" hidden="1"/>
    <cellStyle name="ハイパーリンク" xfId="399" builtinId="8" hidden="1"/>
    <cellStyle name="ハイパーリンク" xfId="401" builtinId="8" hidden="1"/>
    <cellStyle name="ハイパーリンク" xfId="403" builtinId="8" hidden="1"/>
    <cellStyle name="ハイパーリンク" xfId="405" builtinId="8" hidden="1"/>
    <cellStyle name="ハイパーリンク" xfId="407" builtinId="8" hidden="1"/>
    <cellStyle name="ハイパーリンク" xfId="409" builtinId="8" hidden="1"/>
    <cellStyle name="ハイパーリンク" xfId="411" builtinId="8" hidden="1"/>
    <cellStyle name="ハイパーリンク" xfId="413" builtinId="8" hidden="1"/>
    <cellStyle name="ハイパーリンク" xfId="415" builtinId="8" hidden="1"/>
    <cellStyle name="ハイパーリンク" xfId="417" builtinId="8" hidden="1"/>
    <cellStyle name="ハイパーリンク" xfId="419" builtinId="8" hidden="1"/>
    <cellStyle name="ハイパーリンク" xfId="421" builtinId="8" hidden="1"/>
    <cellStyle name="ハイパーリンク" xfId="423" builtinId="8" hidden="1"/>
    <cellStyle name="ハイパーリンク" xfId="425" builtinId="8" hidden="1"/>
    <cellStyle name="ハイパーリンク" xfId="427" builtinId="8" hidden="1"/>
    <cellStyle name="ハイパーリンク" xfId="429" builtinId="8" hidden="1"/>
    <cellStyle name="ハイパーリンク" xfId="431" builtinId="8" hidden="1"/>
    <cellStyle name="ハイパーリンク" xfId="433" builtinId="8" hidden="1"/>
    <cellStyle name="ハイパーリンク" xfId="435" builtinId="8" hidden="1"/>
    <cellStyle name="ハイパーリンク" xfId="437" builtinId="8" hidden="1"/>
    <cellStyle name="ハイパーリンク" xfId="439" builtinId="8" hidden="1"/>
    <cellStyle name="ハイパーリンク" xfId="441" builtinId="8" hidden="1"/>
    <cellStyle name="ハイパーリンク" xfId="443" builtinId="8" hidden="1"/>
    <cellStyle name="ハイパーリンク" xfId="445" builtinId="8" hidden="1"/>
    <cellStyle name="ハイパーリンク" xfId="447" builtinId="8" hidden="1"/>
    <cellStyle name="ハイパーリンク" xfId="449" builtinId="8" hidden="1"/>
    <cellStyle name="ハイパーリンク" xfId="451" builtinId="8" hidden="1"/>
    <cellStyle name="ハイパーリンク" xfId="453" builtinId="8" hidden="1"/>
    <cellStyle name="ハイパーリンク" xfId="455" builtinId="8" hidden="1"/>
    <cellStyle name="ハイパーリンク" xfId="457" builtinId="8" hidden="1"/>
    <cellStyle name="ハイパーリンク" xfId="459" builtinId="8" hidden="1"/>
    <cellStyle name="ハイパーリンク" xfId="461" builtinId="8" hidden="1"/>
    <cellStyle name="ハイパーリンク" xfId="463" builtinId="8" hidden="1"/>
    <cellStyle name="ハイパーリンク" xfId="465" builtinId="8" hidden="1"/>
    <cellStyle name="ハイパーリンク" xfId="467" builtinId="8" hidden="1"/>
    <cellStyle name="ハイパーリンク" xfId="469" builtinId="8" hidden="1"/>
    <cellStyle name="ハイパーリンク" xfId="471" builtinId="8" hidden="1"/>
    <cellStyle name="ハイパーリンク" xfId="473" builtinId="8" hidden="1"/>
    <cellStyle name="ハイパーリンク" xfId="475" builtinId="8" hidden="1"/>
    <cellStyle name="ハイパーリンク" xfId="477" builtinId="8" hidden="1"/>
    <cellStyle name="ハイパーリンク" xfId="479" builtinId="8" hidden="1"/>
    <cellStyle name="ハイパーリンク" xfId="481" builtinId="8" hidden="1"/>
    <cellStyle name="ハイパーリンク" xfId="483" builtinId="8" hidden="1"/>
    <cellStyle name="ハイパーリンク" xfId="485" builtinId="8" hidden="1"/>
    <cellStyle name="ハイパーリンク" xfId="487" builtinId="8" hidden="1"/>
    <cellStyle name="ハイパーリンク" xfId="489" builtinId="8" hidden="1"/>
    <cellStyle name="ハイパーリンク" xfId="491" builtinId="8" hidden="1"/>
    <cellStyle name="ハイパーリンク" xfId="493" builtinId="8" hidden="1"/>
    <cellStyle name="ハイパーリンク" xfId="495" builtinId="8" hidden="1"/>
    <cellStyle name="ハイパーリンク" xfId="497" builtinId="8" hidden="1"/>
    <cellStyle name="ハイパーリンク" xfId="499" builtinId="8" hidden="1"/>
    <cellStyle name="ハイパーリンク" xfId="501" builtinId="8" hidden="1"/>
    <cellStyle name="ハイパーリンク" xfId="503" builtinId="8" hidden="1"/>
    <cellStyle name="ハイパーリンク" xfId="505" builtinId="8" hidden="1"/>
    <cellStyle name="ハイパーリンク" xfId="507" builtinId="8" hidden="1"/>
    <cellStyle name="ハイパーリンク" xfId="509" builtinId="8" hidden="1"/>
    <cellStyle name="ハイパーリンク" xfId="511" builtinId="8" hidden="1"/>
    <cellStyle name="ハイパーリンク" xfId="513" builtinId="8" hidden="1"/>
    <cellStyle name="ハイパーリンク" xfId="515" builtinId="8" hidden="1"/>
    <cellStyle name="ハイパーリンク" xfId="517" builtinId="8" hidden="1"/>
    <cellStyle name="ハイパーリンク" xfId="519" builtinId="8" hidden="1"/>
    <cellStyle name="ハイパーリンク" xfId="521" builtinId="8" hidden="1"/>
    <cellStyle name="ハイパーリンク" xfId="523" builtinId="8" hidden="1"/>
    <cellStyle name="ハイパーリンク" xfId="525" builtinId="8" hidden="1"/>
    <cellStyle name="ハイパーリンク" xfId="527" builtinId="8" hidden="1"/>
    <cellStyle name="ハイパーリンク" xfId="529" builtinId="8" hidden="1"/>
    <cellStyle name="ハイパーリンク" xfId="531" builtinId="8" hidden="1"/>
    <cellStyle name="ハイパーリンク" xfId="533" builtinId="8" hidden="1"/>
    <cellStyle name="ハイパーリンク" xfId="535" builtinId="8" hidden="1"/>
    <cellStyle name="ハイパーリンク" xfId="537" builtinId="8" hidden="1"/>
    <cellStyle name="ハイパーリンク" xfId="539" builtinId="8" hidden="1"/>
    <cellStyle name="ハイパーリンク" xfId="541" builtinId="8" hidden="1"/>
    <cellStyle name="ハイパーリンク" xfId="543" builtinId="8" hidden="1"/>
    <cellStyle name="ハイパーリンク" xfId="545" builtinId="8" hidden="1"/>
    <cellStyle name="ハイパーリンク" xfId="547" builtinId="8" hidden="1"/>
    <cellStyle name="ハイパーリンク" xfId="549" builtinId="8" hidden="1"/>
    <cellStyle name="ハイパーリンク" xfId="551" builtinId="8" hidden="1"/>
    <cellStyle name="ハイパーリンク" xfId="553" builtinId="8" hidden="1"/>
    <cellStyle name="ハイパーリンク" xfId="555" builtinId="8" hidden="1"/>
    <cellStyle name="ハイパーリンク" xfId="557" builtinId="8" hidden="1"/>
    <cellStyle name="ハイパーリンク" xfId="559" builtinId="8" hidden="1"/>
    <cellStyle name="ハイパーリンク" xfId="561" builtinId="8" hidden="1"/>
    <cellStyle name="ハイパーリンク" xfId="563" builtinId="8" hidden="1"/>
    <cellStyle name="ハイパーリンク" xfId="565" builtinId="8" hidden="1"/>
    <cellStyle name="ハイパーリンク" xfId="567" builtinId="8" hidden="1"/>
    <cellStyle name="ハイパーリンク" xfId="569" builtinId="8" hidden="1"/>
    <cellStyle name="ハイパーリンク" xfId="571" builtinId="8" hidden="1"/>
    <cellStyle name="ハイパーリンク" xfId="573" builtinId="8" hidden="1"/>
    <cellStyle name="ハイパーリンク" xfId="575" builtinId="8" hidden="1"/>
    <cellStyle name="ハイパーリンク" xfId="577" builtinId="8" hidden="1"/>
    <cellStyle name="ハイパーリンク" xfId="579" builtinId="8" hidden="1"/>
    <cellStyle name="ハイパーリンク" xfId="581" builtinId="8" hidden="1"/>
    <cellStyle name="ハイパーリンク" xfId="583" builtinId="8" hidden="1"/>
    <cellStyle name="ハイパーリンク" xfId="585" builtinId="8" hidden="1"/>
    <cellStyle name="ハイパーリンク" xfId="587" builtinId="8" hidden="1"/>
    <cellStyle name="ハイパーリンク" xfId="589" builtinId="8" hidden="1"/>
    <cellStyle name="ハイパーリンク" xfId="591" builtinId="8" hidden="1"/>
    <cellStyle name="ハイパーリンク" xfId="593" builtinId="8" hidden="1"/>
    <cellStyle name="ハイパーリンク" xfId="595" builtinId="8" hidden="1"/>
    <cellStyle name="ハイパーリンク" xfId="597" builtinId="8" hidden="1"/>
    <cellStyle name="ハイパーリンク" xfId="599" builtinId="8" hidden="1"/>
    <cellStyle name="ハイパーリンク" xfId="601" builtinId="8" hidden="1"/>
    <cellStyle name="ハイパーリンク" xfId="603" builtinId="8" hidden="1"/>
    <cellStyle name="ハイパーリンク" xfId="605" builtinId="8" hidden="1"/>
    <cellStyle name="ハイパーリンク" xfId="607" builtinId="8" hidden="1"/>
    <cellStyle name="ハイパーリンク" xfId="609" builtinId="8" hidden="1"/>
    <cellStyle name="ハイパーリンク" xfId="611" builtinId="8" hidden="1"/>
    <cellStyle name="ハイパーリンク" xfId="613" builtinId="8" hidden="1"/>
    <cellStyle name="ハイパーリンク" xfId="615" builtinId="8" hidden="1"/>
    <cellStyle name="ハイパーリンク" xfId="617" builtinId="8" hidden="1"/>
    <cellStyle name="ハイパーリンク" xfId="619" builtinId="8" hidden="1"/>
    <cellStyle name="ハイパーリンク" xfId="621" builtinId="8" hidden="1"/>
    <cellStyle name="ハイパーリンク" xfId="623" builtinId="8" hidden="1"/>
    <cellStyle name="ハイパーリンク" xfId="625" builtinId="8" hidden="1"/>
    <cellStyle name="ハイパーリンク" xfId="627" builtinId="8" hidden="1"/>
    <cellStyle name="ハイパーリンク" xfId="629" builtinId="8" hidden="1"/>
    <cellStyle name="ハイパーリンク" xfId="631" builtinId="8" hidden="1"/>
    <cellStyle name="ハイパーリンク" xfId="633" builtinId="8" hidden="1"/>
    <cellStyle name="ハイパーリンク" xfId="635" builtinId="8" hidden="1"/>
    <cellStyle name="ハイパーリンク" xfId="637" builtinId="8" hidden="1"/>
    <cellStyle name="ハイパーリンク" xfId="639" builtinId="8"/>
    <cellStyle name="桁区切り [0.00]" xfId="3" builtinId="3"/>
    <cellStyle name="桁区切り [0.00] 2" xfId="722"/>
    <cellStyle name="標準" xfId="0" builtinId="0"/>
    <cellStyle name="表示済みのハイパーリンク" xfId="2"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4" builtinId="9" hidden="1"/>
    <cellStyle name="表示済みのハイパーリンク" xfId="326" builtinId="9" hidden="1"/>
    <cellStyle name="表示済みのハイパーリンク" xfId="328" builtinId="9" hidden="1"/>
    <cellStyle name="表示済みのハイパーリンク" xfId="330" builtinId="9" hidden="1"/>
    <cellStyle name="表示済みのハイパーリンク" xfId="332" builtinId="9" hidden="1"/>
    <cellStyle name="表示済みのハイパーリンク" xfId="334" builtinId="9" hidden="1"/>
    <cellStyle name="表示済みのハイパーリンク" xfId="336" builtinId="9" hidden="1"/>
    <cellStyle name="表示済みのハイパーリンク" xfId="338" builtinId="9" hidden="1"/>
    <cellStyle name="表示済みのハイパーリンク" xfId="340" builtinId="9" hidden="1"/>
    <cellStyle name="表示済みのハイパーリンク" xfId="342" builtinId="9" hidden="1"/>
    <cellStyle name="表示済みのハイパーリンク" xfId="344" builtinId="9" hidden="1"/>
    <cellStyle name="表示済みのハイパーリンク" xfId="346" builtinId="9" hidden="1"/>
    <cellStyle name="表示済みのハイパーリンク" xfId="348" builtinId="9" hidden="1"/>
    <cellStyle name="表示済みのハイパーリンク" xfId="350" builtinId="9" hidden="1"/>
    <cellStyle name="表示済みのハイパーリンク" xfId="352" builtinId="9" hidden="1"/>
    <cellStyle name="表示済みのハイパーリンク" xfId="354" builtinId="9" hidden="1"/>
    <cellStyle name="表示済みのハイパーリンク" xfId="356" builtinId="9" hidden="1"/>
    <cellStyle name="表示済みのハイパーリンク" xfId="358" builtinId="9" hidden="1"/>
    <cellStyle name="表示済みのハイパーリンク" xfId="360" builtinId="9" hidden="1"/>
    <cellStyle name="表示済みのハイパーリンク" xfId="362" builtinId="9" hidden="1"/>
    <cellStyle name="表示済みのハイパーリンク" xfId="364" builtinId="9" hidden="1"/>
    <cellStyle name="表示済みのハイパーリンク" xfId="366" builtinId="9" hidden="1"/>
    <cellStyle name="表示済みのハイパーリンク" xfId="368" builtinId="9" hidden="1"/>
    <cellStyle name="表示済みのハイパーリンク" xfId="370" builtinId="9" hidden="1"/>
    <cellStyle name="表示済みのハイパーリンク" xfId="372" builtinId="9" hidden="1"/>
    <cellStyle name="表示済みのハイパーリンク" xfId="374" builtinId="9" hidden="1"/>
    <cellStyle name="表示済みのハイパーリンク" xfId="376" builtinId="9" hidden="1"/>
    <cellStyle name="表示済みのハイパーリンク" xfId="378" builtinId="9" hidden="1"/>
    <cellStyle name="表示済みのハイパーリンク" xfId="380" builtinId="9" hidden="1"/>
    <cellStyle name="表示済みのハイパーリンク" xfId="382" builtinId="9" hidden="1"/>
    <cellStyle name="表示済みのハイパーリンク" xfId="384" builtinId="9" hidden="1"/>
    <cellStyle name="表示済みのハイパーリンク" xfId="386" builtinId="9" hidden="1"/>
    <cellStyle name="表示済みのハイパーリンク" xfId="388" builtinId="9" hidden="1"/>
    <cellStyle name="表示済みのハイパーリンク" xfId="390" builtinId="9" hidden="1"/>
    <cellStyle name="表示済みのハイパーリンク" xfId="392" builtinId="9" hidden="1"/>
    <cellStyle name="表示済みのハイパーリンク" xfId="394" builtinId="9" hidden="1"/>
    <cellStyle name="表示済みのハイパーリンク" xfId="396" builtinId="9" hidden="1"/>
    <cellStyle name="表示済みのハイパーリンク" xfId="398" builtinId="9" hidden="1"/>
    <cellStyle name="表示済みのハイパーリンク" xfId="400" builtinId="9" hidden="1"/>
    <cellStyle name="表示済みのハイパーリンク" xfId="402" builtinId="9" hidden="1"/>
    <cellStyle name="表示済みのハイパーリンク" xfId="404" builtinId="9" hidden="1"/>
    <cellStyle name="表示済みのハイパーリンク" xfId="406" builtinId="9" hidden="1"/>
    <cellStyle name="表示済みのハイパーリンク" xfId="408" builtinId="9" hidden="1"/>
    <cellStyle name="表示済みのハイパーリンク" xfId="410" builtinId="9" hidden="1"/>
    <cellStyle name="表示済みのハイパーリンク" xfId="412" builtinId="9" hidden="1"/>
    <cellStyle name="表示済みのハイパーリンク" xfId="414" builtinId="9" hidden="1"/>
    <cellStyle name="表示済みのハイパーリンク" xfId="416" builtinId="9" hidden="1"/>
    <cellStyle name="表示済みのハイパーリンク" xfId="418" builtinId="9" hidden="1"/>
    <cellStyle name="表示済みのハイパーリンク" xfId="420" builtinId="9" hidden="1"/>
    <cellStyle name="表示済みのハイパーリンク" xfId="422" builtinId="9" hidden="1"/>
    <cellStyle name="表示済みのハイパーリンク" xfId="424" builtinId="9" hidden="1"/>
    <cellStyle name="表示済みのハイパーリンク" xfId="426" builtinId="9" hidden="1"/>
    <cellStyle name="表示済みのハイパーリンク" xfId="428" builtinId="9" hidden="1"/>
    <cellStyle name="表示済みのハイパーリンク" xfId="430" builtinId="9" hidden="1"/>
    <cellStyle name="表示済みのハイパーリンク" xfId="432" builtinId="9" hidden="1"/>
    <cellStyle name="表示済みのハイパーリンク" xfId="434" builtinId="9" hidden="1"/>
    <cellStyle name="表示済みのハイパーリンク" xfId="436" builtinId="9" hidden="1"/>
    <cellStyle name="表示済みのハイパーリンク" xfId="438" builtinId="9" hidden="1"/>
    <cellStyle name="表示済みのハイパーリンク" xfId="440" builtinId="9" hidden="1"/>
    <cellStyle name="表示済みのハイパーリンク" xfId="442" builtinId="9" hidden="1"/>
    <cellStyle name="表示済みのハイパーリンク" xfId="444" builtinId="9" hidden="1"/>
    <cellStyle name="表示済みのハイパーリンク" xfId="446" builtinId="9" hidden="1"/>
    <cellStyle name="表示済みのハイパーリンク" xfId="448" builtinId="9" hidden="1"/>
    <cellStyle name="表示済みのハイパーリンク" xfId="450" builtinId="9" hidden="1"/>
    <cellStyle name="表示済みのハイパーリンク" xfId="452" builtinId="9" hidden="1"/>
    <cellStyle name="表示済みのハイパーリンク" xfId="454" builtinId="9" hidden="1"/>
    <cellStyle name="表示済みのハイパーリンク" xfId="456" builtinId="9" hidden="1"/>
    <cellStyle name="表示済みのハイパーリンク" xfId="458" builtinId="9" hidden="1"/>
    <cellStyle name="表示済みのハイパーリンク" xfId="460" builtinId="9" hidden="1"/>
    <cellStyle name="表示済みのハイパーリンク" xfId="462" builtinId="9" hidden="1"/>
    <cellStyle name="表示済みのハイパーリンク" xfId="464" builtinId="9" hidden="1"/>
    <cellStyle name="表示済みのハイパーリンク" xfId="466" builtinId="9" hidden="1"/>
    <cellStyle name="表示済みのハイパーリンク" xfId="468" builtinId="9" hidden="1"/>
    <cellStyle name="表示済みのハイパーリンク" xfId="470" builtinId="9" hidden="1"/>
    <cellStyle name="表示済みのハイパーリンク" xfId="472" builtinId="9" hidden="1"/>
    <cellStyle name="表示済みのハイパーリンク" xfId="474" builtinId="9" hidden="1"/>
    <cellStyle name="表示済みのハイパーリンク" xfId="476" builtinId="9" hidden="1"/>
    <cellStyle name="表示済みのハイパーリンク" xfId="478" builtinId="9" hidden="1"/>
    <cellStyle name="表示済みのハイパーリンク" xfId="480" builtinId="9" hidden="1"/>
    <cellStyle name="表示済みのハイパーリンク" xfId="482" builtinId="9" hidden="1"/>
    <cellStyle name="表示済みのハイパーリンク" xfId="484" builtinId="9" hidden="1"/>
    <cellStyle name="表示済みのハイパーリンク" xfId="486" builtinId="9" hidden="1"/>
    <cellStyle name="表示済みのハイパーリンク" xfId="488" builtinId="9" hidden="1"/>
    <cellStyle name="表示済みのハイパーリンク" xfId="490" builtinId="9" hidden="1"/>
    <cellStyle name="表示済みのハイパーリンク" xfId="492" builtinId="9" hidden="1"/>
    <cellStyle name="表示済みのハイパーリンク" xfId="494" builtinId="9" hidden="1"/>
    <cellStyle name="表示済みのハイパーリンク" xfId="496" builtinId="9" hidden="1"/>
    <cellStyle name="表示済みのハイパーリンク" xfId="498" builtinId="9" hidden="1"/>
    <cellStyle name="表示済みのハイパーリンク" xfId="500" builtinId="9" hidden="1"/>
    <cellStyle name="表示済みのハイパーリンク" xfId="502" builtinId="9" hidden="1"/>
    <cellStyle name="表示済みのハイパーリンク" xfId="504" builtinId="9" hidden="1"/>
    <cellStyle name="表示済みのハイパーリンク" xfId="506" builtinId="9" hidden="1"/>
    <cellStyle name="表示済みのハイパーリンク" xfId="508" builtinId="9" hidden="1"/>
    <cellStyle name="表示済みのハイパーリンク" xfId="510" builtinId="9" hidden="1"/>
    <cellStyle name="表示済みのハイパーリンク" xfId="512" builtinId="9" hidden="1"/>
    <cellStyle name="表示済みのハイパーリンク" xfId="514" builtinId="9" hidden="1"/>
    <cellStyle name="表示済みのハイパーリンク" xfId="516" builtinId="9" hidden="1"/>
    <cellStyle name="表示済みのハイパーリンク" xfId="518" builtinId="9" hidden="1"/>
    <cellStyle name="表示済みのハイパーリンク" xfId="520" builtinId="9" hidden="1"/>
    <cellStyle name="表示済みのハイパーリンク" xfId="522" builtinId="9" hidden="1"/>
    <cellStyle name="表示済みのハイパーリンク" xfId="524" builtinId="9" hidden="1"/>
    <cellStyle name="表示済みのハイパーリンク" xfId="526" builtinId="9" hidden="1"/>
    <cellStyle name="表示済みのハイパーリンク" xfId="528" builtinId="9" hidden="1"/>
    <cellStyle name="表示済みのハイパーリンク" xfId="530" builtinId="9" hidden="1"/>
    <cellStyle name="表示済みのハイパーリンク" xfId="532" builtinId="9" hidden="1"/>
    <cellStyle name="表示済みのハイパーリンク" xfId="534" builtinId="9" hidden="1"/>
    <cellStyle name="表示済みのハイパーリンク" xfId="536" builtinId="9" hidden="1"/>
    <cellStyle name="表示済みのハイパーリンク" xfId="538" builtinId="9" hidden="1"/>
    <cellStyle name="表示済みのハイパーリンク" xfId="540" builtinId="9" hidden="1"/>
    <cellStyle name="表示済みのハイパーリンク" xfId="542" builtinId="9" hidden="1"/>
    <cellStyle name="表示済みのハイパーリンク" xfId="544" builtinId="9" hidden="1"/>
    <cellStyle name="表示済みのハイパーリンク" xfId="546" builtinId="9" hidden="1"/>
    <cellStyle name="表示済みのハイパーリンク" xfId="548" builtinId="9" hidden="1"/>
    <cellStyle name="表示済みのハイパーリンク" xfId="550" builtinId="9" hidden="1"/>
    <cellStyle name="表示済みのハイパーリンク" xfId="552" builtinId="9" hidden="1"/>
    <cellStyle name="表示済みのハイパーリンク" xfId="554" builtinId="9" hidden="1"/>
    <cellStyle name="表示済みのハイパーリンク" xfId="556" builtinId="9" hidden="1"/>
    <cellStyle name="表示済みのハイパーリンク" xfId="558" builtinId="9" hidden="1"/>
    <cellStyle name="表示済みのハイパーリンク" xfId="560" builtinId="9" hidden="1"/>
    <cellStyle name="表示済みのハイパーリンク" xfId="562" builtinId="9" hidden="1"/>
    <cellStyle name="表示済みのハイパーリンク" xfId="564" builtinId="9" hidden="1"/>
    <cellStyle name="表示済みのハイパーリンク" xfId="566" builtinId="9" hidden="1"/>
    <cellStyle name="表示済みのハイパーリンク" xfId="568" builtinId="9" hidden="1"/>
    <cellStyle name="表示済みのハイパーリンク" xfId="570" builtinId="9" hidden="1"/>
    <cellStyle name="表示済みのハイパーリンク" xfId="572" builtinId="9" hidden="1"/>
    <cellStyle name="表示済みのハイパーリンク" xfId="574" builtinId="9" hidden="1"/>
    <cellStyle name="表示済みのハイパーリンク" xfId="576" builtinId="9" hidden="1"/>
    <cellStyle name="表示済みのハイパーリンク" xfId="578" builtinId="9" hidden="1"/>
    <cellStyle name="表示済みのハイパーリンク" xfId="580" builtinId="9" hidden="1"/>
    <cellStyle name="表示済みのハイパーリンク" xfId="582" builtinId="9" hidden="1"/>
    <cellStyle name="表示済みのハイパーリンク" xfId="584" builtinId="9" hidden="1"/>
    <cellStyle name="表示済みのハイパーリンク" xfId="586" builtinId="9" hidden="1"/>
    <cellStyle name="表示済みのハイパーリンク" xfId="588" builtinId="9" hidden="1"/>
    <cellStyle name="表示済みのハイパーリンク" xfId="590" builtinId="9" hidden="1"/>
    <cellStyle name="表示済みのハイパーリンク" xfId="592" builtinId="9" hidden="1"/>
    <cellStyle name="表示済みのハイパーリンク" xfId="594" builtinId="9" hidden="1"/>
    <cellStyle name="表示済みのハイパーリンク" xfId="596" builtinId="9" hidden="1"/>
    <cellStyle name="表示済みのハイパーリンク" xfId="598" builtinId="9" hidden="1"/>
    <cellStyle name="表示済みのハイパーリンク" xfId="600" builtinId="9" hidden="1"/>
    <cellStyle name="表示済みのハイパーリンク" xfId="602" builtinId="9" hidden="1"/>
    <cellStyle name="表示済みのハイパーリンク" xfId="604" builtinId="9" hidden="1"/>
    <cellStyle name="表示済みのハイパーリンク" xfId="606" builtinId="9" hidden="1"/>
    <cellStyle name="表示済みのハイパーリンク" xfId="608" builtinId="9" hidden="1"/>
    <cellStyle name="表示済みのハイパーリンク" xfId="610" builtinId="9" hidden="1"/>
    <cellStyle name="表示済みのハイパーリンク" xfId="612" builtinId="9" hidden="1"/>
    <cellStyle name="表示済みのハイパーリンク" xfId="614" builtinId="9" hidden="1"/>
    <cellStyle name="表示済みのハイパーリンク" xfId="616" builtinId="9" hidden="1"/>
    <cellStyle name="表示済みのハイパーリンク" xfId="618" builtinId="9" hidden="1"/>
    <cellStyle name="表示済みのハイパーリンク" xfId="620" builtinId="9" hidden="1"/>
    <cellStyle name="表示済みのハイパーリンク" xfId="622" builtinId="9" hidden="1"/>
    <cellStyle name="表示済みのハイパーリンク" xfId="624" builtinId="9" hidden="1"/>
    <cellStyle name="表示済みのハイパーリンク" xfId="626" builtinId="9" hidden="1"/>
    <cellStyle name="表示済みのハイパーリンク" xfId="628" builtinId="9" hidden="1"/>
    <cellStyle name="表示済みのハイパーリンク" xfId="630" builtinId="9" hidden="1"/>
    <cellStyle name="表示済みのハイパーリンク" xfId="632" builtinId="9" hidden="1"/>
    <cellStyle name="表示済みのハイパーリンク" xfId="634" builtinId="9" hidden="1"/>
    <cellStyle name="表示済みのハイパーリンク" xfId="636" builtinId="9" hidden="1"/>
    <cellStyle name="表示済みのハイパーリンク" xfId="638" builtinId="9" hidden="1"/>
    <cellStyle name="表示済みのハイパーリンク" xfId="640" builtinId="9" hidden="1"/>
    <cellStyle name="表示済みのハイパーリンク" xfId="641" builtinId="9" hidden="1"/>
    <cellStyle name="表示済みのハイパーリンク" xfId="642" builtinId="9" hidden="1"/>
    <cellStyle name="表示済みのハイパーリンク" xfId="643" builtinId="9" hidden="1"/>
    <cellStyle name="表示済みのハイパーリンク" xfId="644" builtinId="9" hidden="1"/>
    <cellStyle name="表示済みのハイパーリンク" xfId="645" builtinId="9" hidden="1"/>
    <cellStyle name="表示済みのハイパーリンク" xfId="646" builtinId="9" hidden="1"/>
    <cellStyle name="表示済みのハイパーリンク" xfId="647" builtinId="9" hidden="1"/>
    <cellStyle name="表示済みのハイパーリンク" xfId="648" builtinId="9" hidden="1"/>
    <cellStyle name="表示済みのハイパーリンク" xfId="649" builtinId="9" hidden="1"/>
    <cellStyle name="表示済みのハイパーリンク" xfId="650" builtinId="9" hidden="1"/>
    <cellStyle name="表示済みのハイパーリンク" xfId="651" builtinId="9" hidden="1"/>
    <cellStyle name="表示済みのハイパーリンク" xfId="652" builtinId="9" hidden="1"/>
    <cellStyle name="表示済みのハイパーリンク" xfId="653" builtinId="9" hidden="1"/>
    <cellStyle name="表示済みのハイパーリンク" xfId="654" builtinId="9" hidden="1"/>
    <cellStyle name="表示済みのハイパーリンク" xfId="655" builtinId="9" hidden="1"/>
    <cellStyle name="表示済みのハイパーリンク" xfId="656" builtinId="9" hidden="1"/>
    <cellStyle name="表示済みのハイパーリンク" xfId="657" builtinId="9" hidden="1"/>
    <cellStyle name="表示済みのハイパーリンク" xfId="658" builtinId="9" hidden="1"/>
    <cellStyle name="表示済みのハイパーリンク" xfId="659" builtinId="9" hidden="1"/>
    <cellStyle name="表示済みのハイパーリンク" xfId="660" builtinId="9" hidden="1"/>
    <cellStyle name="表示済みのハイパーリンク" xfId="661" builtinId="9" hidden="1"/>
    <cellStyle name="表示済みのハイパーリンク" xfId="662" builtinId="9" hidden="1"/>
    <cellStyle name="表示済みのハイパーリンク" xfId="663" builtinId="9" hidden="1"/>
    <cellStyle name="表示済みのハイパーリンク" xfId="664" builtinId="9" hidden="1"/>
    <cellStyle name="表示済みのハイパーリンク" xfId="665" builtinId="9" hidden="1"/>
    <cellStyle name="表示済みのハイパーリンク" xfId="666" builtinId="9" hidden="1"/>
    <cellStyle name="表示済みのハイパーリンク" xfId="667" builtinId="9" hidden="1"/>
    <cellStyle name="表示済みのハイパーリンク" xfId="668" builtinId="9" hidden="1"/>
    <cellStyle name="表示済みのハイパーリンク" xfId="669" builtinId="9" hidden="1"/>
    <cellStyle name="表示済みのハイパーリンク" xfId="670" builtinId="9" hidden="1"/>
    <cellStyle name="表示済みのハイパーリンク" xfId="671" builtinId="9" hidden="1"/>
    <cellStyle name="表示済みのハイパーリンク" xfId="672" builtinId="9" hidden="1"/>
    <cellStyle name="表示済みのハイパーリンク" xfId="673" builtinId="9" hidden="1"/>
    <cellStyle name="表示済みのハイパーリンク" xfId="674" builtinId="9" hidden="1"/>
    <cellStyle name="表示済みのハイパーリンク" xfId="675" builtinId="9" hidden="1"/>
    <cellStyle name="表示済みのハイパーリンク" xfId="676" builtinId="9" hidden="1"/>
    <cellStyle name="表示済みのハイパーリンク" xfId="677" builtinId="9" hidden="1"/>
    <cellStyle name="表示済みのハイパーリンク" xfId="678" builtinId="9" hidden="1"/>
    <cellStyle name="表示済みのハイパーリンク" xfId="679" builtinId="9" hidden="1"/>
    <cellStyle name="表示済みのハイパーリンク" xfId="680" builtinId="9" hidden="1"/>
    <cellStyle name="表示済みのハイパーリンク" xfId="681" builtinId="9" hidden="1"/>
    <cellStyle name="表示済みのハイパーリンク" xfId="682" builtinId="9" hidden="1"/>
    <cellStyle name="表示済みのハイパーリンク" xfId="683" builtinId="9" hidden="1"/>
    <cellStyle name="表示済みのハイパーリンク" xfId="684" builtinId="9" hidden="1"/>
    <cellStyle name="表示済みのハイパーリンク" xfId="685" builtinId="9" hidden="1"/>
    <cellStyle name="表示済みのハイパーリンク" xfId="686" builtinId="9" hidden="1"/>
    <cellStyle name="表示済みのハイパーリンク" xfId="687" builtinId="9" hidden="1"/>
    <cellStyle name="表示済みのハイパーリンク" xfId="688" builtinId="9" hidden="1"/>
    <cellStyle name="表示済みのハイパーリンク" xfId="689" builtinId="9" hidden="1"/>
    <cellStyle name="表示済みのハイパーリンク" xfId="690" builtinId="9" hidden="1"/>
    <cellStyle name="表示済みのハイパーリンク" xfId="691" builtinId="9" hidden="1"/>
    <cellStyle name="表示済みのハイパーリンク" xfId="692" builtinId="9" hidden="1"/>
    <cellStyle name="表示済みのハイパーリンク" xfId="693" builtinId="9" hidden="1"/>
    <cellStyle name="表示済みのハイパーリンク" xfId="694" builtinId="9" hidden="1"/>
    <cellStyle name="表示済みのハイパーリンク" xfId="695" builtinId="9" hidden="1"/>
    <cellStyle name="表示済みのハイパーリンク" xfId="696" builtinId="9" hidden="1"/>
    <cellStyle name="表示済みのハイパーリンク" xfId="697" builtinId="9" hidden="1"/>
    <cellStyle name="表示済みのハイパーリンク" xfId="698" builtinId="9" hidden="1"/>
    <cellStyle name="表示済みのハイパーリンク" xfId="699" builtinId="9" hidden="1"/>
    <cellStyle name="表示済みのハイパーリンク" xfId="700" builtinId="9" hidden="1"/>
    <cellStyle name="表示済みのハイパーリンク" xfId="701" builtinId="9" hidden="1"/>
    <cellStyle name="表示済みのハイパーリンク" xfId="702" builtinId="9" hidden="1"/>
    <cellStyle name="表示済みのハイパーリンク" xfId="703" builtinId="9" hidden="1"/>
    <cellStyle name="表示済みのハイパーリンク" xfId="704" builtinId="9" hidden="1"/>
    <cellStyle name="表示済みのハイパーリンク" xfId="705" builtinId="9" hidden="1"/>
    <cellStyle name="表示済みのハイパーリンク" xfId="706" builtinId="9" hidden="1"/>
    <cellStyle name="表示済みのハイパーリンク" xfId="707" builtinId="9" hidden="1"/>
    <cellStyle name="表示済みのハイパーリンク" xfId="708" builtinId="9" hidden="1"/>
    <cellStyle name="表示済みのハイパーリンク" xfId="709" builtinId="9" hidden="1"/>
    <cellStyle name="表示済みのハイパーリンク" xfId="710" builtinId="9" hidden="1"/>
    <cellStyle name="表示済みのハイパーリンク" xfId="711" builtinId="9" hidden="1"/>
    <cellStyle name="表示済みのハイパーリンク" xfId="712" builtinId="9" hidden="1"/>
    <cellStyle name="表示済みのハイパーリンク" xfId="713" builtinId="9" hidden="1"/>
    <cellStyle name="表示済みのハイパーリンク" xfId="714" builtinId="9" hidden="1"/>
    <cellStyle name="表示済みのハイパーリンク" xfId="715" builtinId="9" hidden="1"/>
    <cellStyle name="表示済みのハイパーリンク" xfId="716" builtinId="9" hidden="1"/>
    <cellStyle name="表示済みのハイパーリンク" xfId="717" builtinId="9" hidden="1"/>
    <cellStyle name="表示済みのハイパーリンク" xfId="718" builtinId="9" hidden="1"/>
    <cellStyle name="表示済みのハイパーリンク" xfId="719" builtinId="9" hidden="1"/>
    <cellStyle name="表示済みのハイパーリンク" xfId="720" builtinId="9" hidden="1"/>
    <cellStyle name="表示済みのハイパーリンク" xfId="721" builtinId="9" hidden="1"/>
    <cellStyle name="表示済みのハイパーリンク" xfId="723" builtinId="9" hidden="1"/>
    <cellStyle name="表示済みのハイパーリンク" xfId="724" builtinId="9" hidden="1"/>
    <cellStyle name="表示済みのハイパーリンク" xfId="725" builtinId="9" hidden="1"/>
    <cellStyle name="表示済みのハイパーリンク" xfId="726" builtinId="9" hidden="1"/>
    <cellStyle name="表示済みのハイパーリンク" xfId="727" builtinId="9" hidden="1"/>
    <cellStyle name="表示済みのハイパーリンク" xfId="728" builtinId="9" hidden="1"/>
    <cellStyle name="表示済みのハイパーリンク" xfId="729" builtinId="9" hidden="1"/>
    <cellStyle name="表示済みのハイパーリンク" xfId="730" builtinId="9" hidden="1"/>
    <cellStyle name="表示済みのハイパーリンク" xfId="731" builtinId="9" hidden="1"/>
    <cellStyle name="表示済みのハイパーリンク" xfId="732" builtinId="9" hidden="1"/>
    <cellStyle name="表示済みのハイパーリンク" xfId="733" builtinId="9" hidden="1"/>
    <cellStyle name="表示済みのハイパーリンク" xfId="734" builtinId="9" hidden="1"/>
    <cellStyle name="表示済みのハイパーリンク" xfId="735" builtinId="9" hidden="1"/>
    <cellStyle name="表示済みのハイパーリンク" xfId="736" builtinId="9" hidden="1"/>
    <cellStyle name="表示済みのハイパーリンク" xfId="737" builtinId="9" hidden="1"/>
    <cellStyle name="表示済みのハイパーリンク" xfId="738" builtinId="9" hidden="1"/>
    <cellStyle name="表示済みのハイパーリンク" xfId="739" builtinId="9" hidden="1"/>
    <cellStyle name="表示済みのハイパーリンク" xfId="740" builtinId="9" hidden="1"/>
    <cellStyle name="表示済みのハイパーリンク" xfId="741" builtinId="9" hidden="1"/>
    <cellStyle name="表示済みのハイパーリンク" xfId="742" builtinId="9" hidden="1"/>
    <cellStyle name="表示済みのハイパーリンク" xfId="743" builtinId="9" hidden="1"/>
    <cellStyle name="表示済みのハイパーリンク" xfId="744" builtinId="9" hidden="1"/>
    <cellStyle name="表示済みのハイパーリンク" xfId="745" builtinId="9" hidden="1"/>
    <cellStyle name="表示済みのハイパーリンク" xfId="746" builtinId="9" hidden="1"/>
    <cellStyle name="表示済みのハイパーリンク" xfId="747" builtinId="9" hidden="1"/>
    <cellStyle name="表示済みのハイパーリンク" xfId="748" builtinId="9" hidden="1"/>
    <cellStyle name="表示済みのハイパーリンク" xfId="749" builtinId="9" hidden="1"/>
    <cellStyle name="表示済みのハイパーリンク" xfId="750" builtinId="9" hidden="1"/>
    <cellStyle name="表示済みのハイパーリンク" xfId="751" builtinId="9" hidden="1"/>
    <cellStyle name="表示済みのハイパーリンク" xfId="752" builtinId="9" hidden="1"/>
    <cellStyle name="表示済みのハイパーリンク" xfId="753" builtinId="9" hidden="1"/>
    <cellStyle name="表示済みのハイパーリンク" xfId="754" builtinId="9" hidden="1"/>
    <cellStyle name="表示済みのハイパーリンク" xfId="755" builtinId="9" hidden="1"/>
    <cellStyle name="表示済みのハイパーリンク" xfId="756" builtinId="9" hidden="1"/>
    <cellStyle name="表示済みのハイパーリンク" xfId="757" builtinId="9" hidden="1"/>
    <cellStyle name="表示済みのハイパーリンク" xfId="758" builtinId="9" hidden="1"/>
    <cellStyle name="表示済みのハイパーリンク" xfId="759" builtinId="9" hidden="1"/>
    <cellStyle name="表示済みのハイパーリンク" xfId="760" builtinId="9" hidden="1"/>
    <cellStyle name="表示済みのハイパーリンク" xfId="761" builtinId="9" hidden="1"/>
    <cellStyle name="表示済みのハイパーリンク" xfId="762" builtinId="9" hidden="1"/>
    <cellStyle name="表示済みのハイパーリンク" xfId="763" builtinId="9" hidden="1"/>
    <cellStyle name="表示済みのハイパーリンク" xfId="764" builtinId="9" hidden="1"/>
    <cellStyle name="表示済みのハイパーリンク" xfId="765" builtinId="9" hidden="1"/>
    <cellStyle name="表示済みのハイパーリンク" xfId="766" builtinId="9" hidden="1"/>
    <cellStyle name="表示済みのハイパーリンク" xfId="767" builtinId="9" hidden="1"/>
    <cellStyle name="表示済みのハイパーリンク" xfId="768" builtinId="9" hidden="1"/>
    <cellStyle name="表示済みのハイパーリンク" xfId="769" builtinId="9" hidden="1"/>
    <cellStyle name="表示済みのハイパーリンク" xfId="770" builtinId="9" hidden="1"/>
    <cellStyle name="表示済みのハイパーリンク" xfId="771" builtinId="9" hidden="1"/>
    <cellStyle name="表示済みのハイパーリンク" xfId="772" builtinId="9" hidden="1"/>
    <cellStyle name="表示済みのハイパーリンク" xfId="773" builtinId="9" hidden="1"/>
    <cellStyle name="表示済みのハイパーリンク" xfId="774" builtinId="9" hidden="1"/>
    <cellStyle name="表示済みのハイパーリンク" xfId="775" builtinId="9" hidden="1"/>
    <cellStyle name="表示済みのハイパーリンク" xfId="776" builtinId="9" hidden="1"/>
    <cellStyle name="表示済みのハイパーリンク" xfId="777" builtinId="9" hidden="1"/>
    <cellStyle name="表示済みのハイパーリンク" xfId="778" builtinId="9" hidden="1"/>
    <cellStyle name="表示済みのハイパーリンク" xfId="779" builtinId="9" hidden="1"/>
    <cellStyle name="表示済みのハイパーリンク" xfId="780" builtinId="9" hidden="1"/>
    <cellStyle name="表示済みのハイパーリンク" xfId="781" builtinId="9" hidden="1"/>
    <cellStyle name="表示済みのハイパーリンク" xfId="782" builtinId="9" hidden="1"/>
    <cellStyle name="表示済みのハイパーリンク" xfId="783" builtinId="9" hidden="1"/>
    <cellStyle name="表示済みのハイパーリンク" xfId="784" builtinId="9" hidden="1"/>
    <cellStyle name="表示済みのハイパーリンク" xfId="785" builtinId="9" hidden="1"/>
    <cellStyle name="表示済みのハイパーリンク" xfId="786" builtinId="9" hidden="1"/>
    <cellStyle name="表示済みのハイパーリンク" xfId="787" builtinId="9" hidden="1"/>
    <cellStyle name="表示済みのハイパーリンク" xfId="788" builtinId="9" hidden="1"/>
    <cellStyle name="表示済みのハイパーリンク" xfId="789" builtinId="9" hidden="1"/>
    <cellStyle name="表示済みのハイパーリンク" xfId="790" builtinId="9" hidden="1"/>
    <cellStyle name="表示済みのハイパーリンク" xfId="791" builtinId="9" hidden="1"/>
    <cellStyle name="表示済みのハイパーリンク" xfId="792" builtinId="9" hidden="1"/>
    <cellStyle name="表示済みのハイパーリンク" xfId="793" builtinId="9" hidden="1"/>
    <cellStyle name="表示済みのハイパーリンク" xfId="794" builtinId="9" hidden="1"/>
    <cellStyle name="表示済みのハイパーリンク" xfId="795" builtinId="9" hidden="1"/>
    <cellStyle name="表示済みのハイパーリンク" xfId="796" builtinId="9" hidden="1"/>
    <cellStyle name="表示済みのハイパーリンク" xfId="797" builtinId="9" hidden="1"/>
    <cellStyle name="表示済みのハイパーリンク" xfId="798" builtinId="9" hidden="1"/>
    <cellStyle name="表示済みのハイパーリンク" xfId="799" builtinId="9" hidden="1"/>
    <cellStyle name="表示済みのハイパーリンク" xfId="800" builtinId="9" hidden="1"/>
    <cellStyle name="表示済みのハイパーリンク" xfId="801" builtinId="9" hidden="1"/>
    <cellStyle name="表示済みのハイパーリンク" xfId="802" builtinId="9" hidden="1"/>
    <cellStyle name="表示済みのハイパーリンク" xfId="803" builtinId="9" hidden="1"/>
    <cellStyle name="表示済みのハイパーリンク" xfId="804" builtinId="9" hidden="1"/>
    <cellStyle name="表示済みのハイパーリンク" xfId="805" builtinId="9" hidden="1"/>
    <cellStyle name="表示済みのハイパーリンク" xfId="806" builtinId="9" hidden="1"/>
    <cellStyle name="表示済みのハイパーリンク" xfId="807" builtinId="9" hidden="1"/>
    <cellStyle name="表示済みのハイパーリンク" xfId="808" builtinId="9" hidden="1"/>
    <cellStyle name="表示済みのハイパーリンク" xfId="809" builtinId="9" hidden="1"/>
    <cellStyle name="表示済みのハイパーリンク" xfId="810" builtinId="9" hidden="1"/>
    <cellStyle name="表示済みのハイパーリンク" xfId="811" builtinId="9" hidden="1"/>
    <cellStyle name="表示済みのハイパーリンク" xfId="812" builtinId="9" hidden="1"/>
    <cellStyle name="表示済みのハイパーリンク" xfId="813" builtinId="9" hidden="1"/>
    <cellStyle name="表示済みのハイパーリンク" xfId="814" builtinId="9" hidden="1"/>
    <cellStyle name="表示済みのハイパーリンク" xfId="815" builtinId="9" hidden="1"/>
    <cellStyle name="表示済みのハイパーリンク" xfId="816" builtinId="9" hidden="1"/>
    <cellStyle name="表示済みのハイパーリンク" xfId="817" builtinId="9" hidden="1"/>
    <cellStyle name="表示済みのハイパーリンク" xfId="818" builtinId="9" hidden="1"/>
    <cellStyle name="表示済みのハイパーリンク" xfId="819" builtinId="9" hidden="1"/>
    <cellStyle name="表示済みのハイパーリンク" xfId="820" builtinId="9" hidden="1"/>
    <cellStyle name="表示済みのハイパーリンク" xfId="821" builtinId="9" hidden="1"/>
    <cellStyle name="表示済みのハイパーリンク" xfId="822" builtinId="9" hidden="1"/>
    <cellStyle name="表示済みのハイパーリンク" xfId="823" builtinId="9" hidden="1"/>
    <cellStyle name="表示済みのハイパーリンク" xfId="824" builtinId="9" hidden="1"/>
    <cellStyle name="表示済みのハイパーリンク" xfId="825" builtinId="9" hidden="1"/>
    <cellStyle name="表示済みのハイパーリンク" xfId="826" builtinId="9" hidden="1"/>
    <cellStyle name="表示済みのハイパーリンク" xfId="827" builtinId="9" hidden="1"/>
    <cellStyle name="表示済みのハイパーリンク" xfId="828" builtinId="9" hidden="1"/>
    <cellStyle name="表示済みのハイパーリンク" xfId="829" builtinId="9" hidden="1"/>
    <cellStyle name="表示済みのハイパーリンク" xfId="830" builtinId="9" hidden="1"/>
    <cellStyle name="表示済みのハイパーリンク" xfId="831" builtinId="9" hidden="1"/>
    <cellStyle name="表示済みのハイパーリンク" xfId="832" builtinId="9" hidden="1"/>
    <cellStyle name="表示済みのハイパーリンク" xfId="833" builtinId="9" hidden="1"/>
    <cellStyle name="表示済みのハイパーリンク" xfId="834" builtinId="9" hidden="1"/>
    <cellStyle name="表示済みのハイパーリンク" xfId="835" builtinId="9" hidden="1"/>
    <cellStyle name="表示済みのハイパーリンク" xfId="836" builtinId="9" hidden="1"/>
    <cellStyle name="表示済みのハイパーリンク" xfId="837" builtinId="9" hidden="1"/>
    <cellStyle name="表示済みのハイパーリンク" xfId="838" builtinId="9" hidden="1"/>
    <cellStyle name="表示済みのハイパーリンク" xfId="839" builtinId="9" hidden="1"/>
    <cellStyle name="表示済みのハイパーリンク" xfId="840" builtinId="9" hidden="1"/>
    <cellStyle name="表示済みのハイパーリンク" xfId="841" builtinId="9" hidden="1"/>
    <cellStyle name="表示済みのハイパーリンク" xfId="842" builtinId="9" hidden="1"/>
    <cellStyle name="表示済みのハイパーリンク" xfId="843" builtinId="9" hidden="1"/>
    <cellStyle name="表示済みのハイパーリンク" xfId="844" builtinId="9" hidden="1"/>
    <cellStyle name="表示済みのハイパーリンク" xfId="845" builtinId="9" hidden="1"/>
    <cellStyle name="表示済みのハイパーリンク" xfId="846" builtinId="9" hidden="1"/>
    <cellStyle name="表示済みのハイパーリンク" xfId="847" builtinId="9" hidden="1"/>
    <cellStyle name="表示済みのハイパーリンク" xfId="848" builtinId="9" hidden="1"/>
    <cellStyle name="表示済みのハイパーリンク" xfId="849" builtinId="9" hidden="1"/>
    <cellStyle name="表示済みのハイパーリンク" xfId="850" builtinId="9" hidden="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theme" Target="theme/theme1.xml"/><Relationship Id="rId28" Type="http://schemas.openxmlformats.org/officeDocument/2006/relationships/styles" Target="styles.xml"/><Relationship Id="rId29" Type="http://schemas.openxmlformats.org/officeDocument/2006/relationships/sharedStrings" Target="sharedStrings.xml"/><Relationship Id="rId30"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881522309711286"/>
          <c:y val="0.0601851851851852"/>
          <c:w val="0.830497594050744"/>
          <c:h val="0.87962962962963"/>
        </c:manualLayout>
      </c:layout>
      <c:lineChart>
        <c:grouping val="standard"/>
        <c:varyColors val="0"/>
        <c:ser>
          <c:idx val="0"/>
          <c:order val="0"/>
          <c:tx>
            <c:v>Cumulated CA/GDP (dashed line)</c:v>
          </c:tx>
          <c:spPr>
            <a:ln w="31750">
              <a:prstDash val="sysDot"/>
            </a:ln>
          </c:spPr>
          <c:marker>
            <c:symbol val="none"/>
          </c:marker>
          <c:cat>
            <c:numRef>
              <c:f>'NFA and Cumulated CA'!$A$4:$A$47</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'NFA and Cumulated CA'!$E$4:$E$47</c:f>
              <c:numCache>
                <c:formatCode>0.00_ </c:formatCode>
                <c:ptCount val="44"/>
                <c:pt idx="0">
                  <c:v>5.962406263167956</c:v>
                </c:pt>
                <c:pt idx="1">
                  <c:v>7.798893289515258</c:v>
                </c:pt>
                <c:pt idx="2">
                  <c:v>8.067882307184227</c:v>
                </c:pt>
                <c:pt idx="3">
                  <c:v>5.906908020246361</c:v>
                </c:pt>
                <c:pt idx="4">
                  <c:v>4.294422019034395</c:v>
                </c:pt>
                <c:pt idx="5">
                  <c:v>3.813224297602857</c:v>
                </c:pt>
                <c:pt idx="6">
                  <c:v>4.05333643866034</c:v>
                </c:pt>
                <c:pt idx="7">
                  <c:v>4.871599874293432</c:v>
                </c:pt>
                <c:pt idx="8">
                  <c:v>5.169055904703334</c:v>
                </c:pt>
                <c:pt idx="9">
                  <c:v>4.101710735574111</c:v>
                </c:pt>
                <c:pt idx="10">
                  <c:v>2.868127986126511</c:v>
                </c:pt>
                <c:pt idx="11">
                  <c:v>2.997790689553878</c:v>
                </c:pt>
                <c:pt idx="12">
                  <c:v>3.847432833294233</c:v>
                </c:pt>
                <c:pt idx="13">
                  <c:v>5.260645505704997</c:v>
                </c:pt>
                <c:pt idx="14">
                  <c:v>7.693666418496364</c:v>
                </c:pt>
                <c:pt idx="15">
                  <c:v>10.94197666656445</c:v>
                </c:pt>
                <c:pt idx="16">
                  <c:v>11.6356371597606</c:v>
                </c:pt>
                <c:pt idx="17">
                  <c:v>13.04761486236811</c:v>
                </c:pt>
                <c:pt idx="18">
                  <c:v>13.42101835269695</c:v>
                </c:pt>
                <c:pt idx="19">
                  <c:v>15.54018453413498</c:v>
                </c:pt>
                <c:pt idx="20">
                  <c:v>16.54773607371157</c:v>
                </c:pt>
                <c:pt idx="21">
                  <c:v>16.4785479432911</c:v>
                </c:pt>
                <c:pt idx="22">
                  <c:v>18.09254124788558</c:v>
                </c:pt>
                <c:pt idx="23">
                  <c:v>18.81489623552321</c:v>
                </c:pt>
                <c:pt idx="24">
                  <c:v>19.55953944743337</c:v>
                </c:pt>
                <c:pt idx="25">
                  <c:v>19.86810008875547</c:v>
                </c:pt>
                <c:pt idx="26">
                  <c:v>23.91621206363187</c:v>
                </c:pt>
                <c:pt idx="27">
                  <c:v>28.26727794750914</c:v>
                </c:pt>
                <c:pt idx="28">
                  <c:v>34.25928264119743</c:v>
                </c:pt>
                <c:pt idx="29">
                  <c:v>32.84098548878335</c:v>
                </c:pt>
                <c:pt idx="30">
                  <c:v>33.29747063552688</c:v>
                </c:pt>
                <c:pt idx="31">
                  <c:v>39.9813436948151</c:v>
                </c:pt>
                <c:pt idx="32">
                  <c:v>44.60425266803757</c:v>
                </c:pt>
                <c:pt idx="33">
                  <c:v>44.43079487557674</c:v>
                </c:pt>
                <c:pt idx="34">
                  <c:v>44.75878962114063</c:v>
                </c:pt>
                <c:pt idx="35">
                  <c:v>49.20687366327501</c:v>
                </c:pt>
                <c:pt idx="36">
                  <c:v>55.56322226530084</c:v>
                </c:pt>
                <c:pt idx="37">
                  <c:v>60.42759400755852</c:v>
                </c:pt>
                <c:pt idx="38">
                  <c:v>57.5725386917739</c:v>
                </c:pt>
                <c:pt idx="39">
                  <c:v>58.36609134016446</c:v>
                </c:pt>
                <c:pt idx="40">
                  <c:v>57.18853198947027</c:v>
                </c:pt>
                <c:pt idx="41">
                  <c:v>55.31265443045715</c:v>
                </c:pt>
                <c:pt idx="42">
                  <c:v>55.71213317700388</c:v>
                </c:pt>
                <c:pt idx="43">
                  <c:v>62.34817583161295</c:v>
                </c:pt>
              </c:numCache>
            </c:numRef>
          </c:val>
          <c:smooth val="0"/>
        </c:ser>
        <c:ser>
          <c:idx val="1"/>
          <c:order val="1"/>
          <c:tx>
            <c:v>NFA/GDP (solid line)</c:v>
          </c:tx>
          <c:spPr>
            <a:ln w="31750"/>
          </c:spPr>
          <c:marker>
            <c:symbol val="none"/>
          </c:marker>
          <c:cat>
            <c:numRef>
              <c:f>'NFA and Cumulated CA'!$A$4:$A$47</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'NFA and Cumulated CA'!$F$4:$F$47</c:f>
              <c:numCache>
                <c:formatCode>0.00_ </c:formatCode>
                <c:ptCount val="44"/>
                <c:pt idx="0">
                  <c:v>5.962406263167956</c:v>
                </c:pt>
                <c:pt idx="1">
                  <c:v>7.785566919480187</c:v>
                </c:pt>
                <c:pt idx="2">
                  <c:v>7.589044263021933</c:v>
                </c:pt>
                <c:pt idx="3">
                  <c:v>3.890174808837634</c:v>
                </c:pt>
                <c:pt idx="4">
                  <c:v>-1.839644879810107</c:v>
                </c:pt>
                <c:pt idx="5">
                  <c:v>1.824279629108811</c:v>
                </c:pt>
                <c:pt idx="6">
                  <c:v>2.510432133015802</c:v>
                </c:pt>
                <c:pt idx="7">
                  <c:v>4.507070730355498</c:v>
                </c:pt>
                <c:pt idx="8">
                  <c:v>5.064555401011145</c:v>
                </c:pt>
                <c:pt idx="9">
                  <c:v>2.723469906482</c:v>
                </c:pt>
                <c:pt idx="10">
                  <c:v>1.067832815751461</c:v>
                </c:pt>
                <c:pt idx="11">
                  <c:v>0.998353882423941</c:v>
                </c:pt>
                <c:pt idx="12">
                  <c:v>2.329491208037138</c:v>
                </c:pt>
                <c:pt idx="13">
                  <c:v>3.102982430962924</c:v>
                </c:pt>
                <c:pt idx="14">
                  <c:v>5.831868294896516</c:v>
                </c:pt>
                <c:pt idx="15">
                  <c:v>9.520020422443674</c:v>
                </c:pt>
                <c:pt idx="16">
                  <c:v>8.927100902335041</c:v>
                </c:pt>
                <c:pt idx="17">
                  <c:v>9.833599404299517</c:v>
                </c:pt>
                <c:pt idx="18">
                  <c:v>9.82143700990004</c:v>
                </c:pt>
                <c:pt idx="19">
                  <c:v>9.865800642936173</c:v>
                </c:pt>
                <c:pt idx="20">
                  <c:v>10.73075509850143</c:v>
                </c:pt>
                <c:pt idx="21">
                  <c:v>10.99437813597307</c:v>
                </c:pt>
                <c:pt idx="22">
                  <c:v>13.53180585198274</c:v>
                </c:pt>
                <c:pt idx="23">
                  <c:v>14.0432764402812</c:v>
                </c:pt>
                <c:pt idx="24">
                  <c:v>14.20661237055882</c:v>
                </c:pt>
                <c:pt idx="25">
                  <c:v>15.29888740417092</c:v>
                </c:pt>
                <c:pt idx="26">
                  <c:v>18.91254499882609</c:v>
                </c:pt>
                <c:pt idx="27">
                  <c:v>22.14418667861374</c:v>
                </c:pt>
                <c:pt idx="28">
                  <c:v>29.46113356014968</c:v>
                </c:pt>
                <c:pt idx="29">
                  <c:v>18.6884732095171</c:v>
                </c:pt>
                <c:pt idx="30">
                  <c:v>24.34584903157895</c:v>
                </c:pt>
                <c:pt idx="31">
                  <c:v>32.5690062448531</c:v>
                </c:pt>
                <c:pt idx="32">
                  <c:v>36.56855124032</c:v>
                </c:pt>
                <c:pt idx="33">
                  <c:v>37.27347767011749</c:v>
                </c:pt>
                <c:pt idx="34">
                  <c:v>38.14276033894994</c:v>
                </c:pt>
                <c:pt idx="35">
                  <c:v>33.31361828024252</c:v>
                </c:pt>
                <c:pt idx="36">
                  <c:v>41.15586099751493</c:v>
                </c:pt>
                <c:pt idx="37">
                  <c:v>50.0500063289339</c:v>
                </c:pt>
                <c:pt idx="38">
                  <c:v>51.02104427030165</c:v>
                </c:pt>
                <c:pt idx="39">
                  <c:v>57.29399740750623</c:v>
                </c:pt>
                <c:pt idx="40">
                  <c:v>56.53186874679723</c:v>
                </c:pt>
                <c:pt idx="41">
                  <c:v>57.31678483825354</c:v>
                </c:pt>
                <c:pt idx="42">
                  <c:v>57.40515285484613</c:v>
                </c:pt>
                <c:pt idx="43">
                  <c:v>57.32876122562224</c:v>
                </c:pt>
              </c:numCache>
            </c:numRef>
          </c:val>
          <c:smooth val="0"/>
        </c:ser>
        <c:dLbls>
          <c:showLegendKey val="0"/>
          <c:showVal val="0"/>
          <c:showCatName val="0"/>
          <c:showSerName val="0"/>
          <c:showPercent val="0"/>
          <c:showBubbleSize val="0"/>
        </c:dLbls>
        <c:marker val="1"/>
        <c:smooth val="0"/>
        <c:axId val="2109616216"/>
        <c:axId val="2109618696"/>
      </c:lineChart>
      <c:catAx>
        <c:axId val="2109616216"/>
        <c:scaling>
          <c:orientation val="minMax"/>
        </c:scaling>
        <c:delete val="0"/>
        <c:axPos val="b"/>
        <c:numFmt formatCode="General" sourceLinked="1"/>
        <c:majorTickMark val="out"/>
        <c:minorTickMark val="none"/>
        <c:tickLblPos val="nextTo"/>
        <c:crossAx val="2109618696"/>
        <c:crosses val="autoZero"/>
        <c:auto val="1"/>
        <c:lblAlgn val="ctr"/>
        <c:lblOffset val="100"/>
        <c:tickLblSkip val="10"/>
        <c:tickMarkSkip val="10"/>
        <c:noMultiLvlLbl val="0"/>
      </c:catAx>
      <c:valAx>
        <c:axId val="2109618696"/>
        <c:scaling>
          <c:orientation val="minMax"/>
        </c:scaling>
        <c:delete val="0"/>
        <c:axPos val="l"/>
        <c:numFmt formatCode="0_ " sourceLinked="0"/>
        <c:majorTickMark val="out"/>
        <c:minorTickMark val="none"/>
        <c:tickLblPos val="nextTo"/>
        <c:crossAx val="2109616216"/>
        <c:crosses val="autoZero"/>
        <c:crossBetween val="between"/>
      </c:valAx>
    </c:plotArea>
    <c:legend>
      <c:legendPos val="r"/>
      <c:layout>
        <c:manualLayout>
          <c:xMode val="edge"/>
          <c:yMode val="edge"/>
          <c:x val="0.159008967629046"/>
          <c:y val="0.0875791046952464"/>
          <c:w val="0.327102143482065"/>
          <c:h val="0.2924343832021"/>
        </c:manualLayout>
      </c:layout>
      <c:overlay val="0"/>
    </c:legend>
    <c:plotVisOnly val="1"/>
    <c:dispBlanksAs val="gap"/>
    <c:showDLblsOverMax val="0"/>
  </c:chart>
  <c:txPr>
    <a:bodyPr/>
    <a:lstStyle/>
    <a:p>
      <a:pPr>
        <a:defRPr>
          <a:latin typeface="Times New Roman"/>
          <a:cs typeface="Times New Roman"/>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842463131335102"/>
          <c:y val="0.0397553516819572"/>
          <c:w val="0.673216890706341"/>
          <c:h val="0.874617737003058"/>
        </c:manualLayout>
      </c:layout>
      <c:lineChart>
        <c:grouping val="standard"/>
        <c:varyColors val="0"/>
        <c:ser>
          <c:idx val="0"/>
          <c:order val="0"/>
          <c:tx>
            <c:strRef>
              <c:f>NFA_comparison!$B$1</c:f>
              <c:strCache>
                <c:ptCount val="1"/>
                <c:pt idx="0">
                  <c:v>Japan</c:v>
                </c:pt>
              </c:strCache>
            </c:strRef>
          </c:tx>
          <c:spPr>
            <a:ln w="19050"/>
          </c:spPr>
          <c:marker>
            <c:symbol val="none"/>
          </c:marker>
          <c:cat>
            <c:numRef>
              <c:f>NFA_comparison!$A$2:$A$44</c:f>
              <c:numCache>
                <c:formatCode>General</c:formatCode>
                <c:ptCount val="43"/>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numCache>
            </c:numRef>
          </c:cat>
          <c:val>
            <c:numRef>
              <c:f>NFA_comparison!$B$2:$B$44</c:f>
              <c:numCache>
                <c:formatCode>0_ </c:formatCode>
                <c:ptCount val="43"/>
                <c:pt idx="0">
                  <c:v>12147.55807487028</c:v>
                </c:pt>
                <c:pt idx="1">
                  <c:v>17916.89015940423</c:v>
                </c:pt>
                <c:pt idx="2">
                  <c:v>23128.25837625994</c:v>
                </c:pt>
                <c:pt idx="3">
                  <c:v>16107.27236354962</c:v>
                </c:pt>
                <c:pt idx="4">
                  <c:v>-8455.176853008525</c:v>
                </c:pt>
                <c:pt idx="5">
                  <c:v>9117.301334306365</c:v>
                </c:pt>
                <c:pt idx="6">
                  <c:v>14101.0770377473</c:v>
                </c:pt>
                <c:pt idx="7">
                  <c:v>31157.55402451031</c:v>
                </c:pt>
                <c:pt idx="8">
                  <c:v>49192.53420886715</c:v>
                </c:pt>
                <c:pt idx="9">
                  <c:v>27533.79109177884</c:v>
                </c:pt>
                <c:pt idx="10">
                  <c:v>11436.45495973728</c:v>
                </c:pt>
                <c:pt idx="11">
                  <c:v>11818.4173115383</c:v>
                </c:pt>
                <c:pt idx="12">
                  <c:v>25633.96778540458</c:v>
                </c:pt>
                <c:pt idx="13">
                  <c:v>37241.57676615179</c:v>
                </c:pt>
                <c:pt idx="14">
                  <c:v>74389.1510684</c:v>
                </c:pt>
                <c:pt idx="15">
                  <c:v>129868.6528652739</c:v>
                </c:pt>
                <c:pt idx="16">
                  <c:v>180406.6001976001</c:v>
                </c:pt>
                <c:pt idx="17">
                  <c:v>240792.8696044</c:v>
                </c:pt>
                <c:pt idx="18">
                  <c:v>291798.187771</c:v>
                </c:pt>
                <c:pt idx="19">
                  <c:v>293277.3509432001</c:v>
                </c:pt>
                <c:pt idx="20">
                  <c:v>328150.5929706001</c:v>
                </c:pt>
                <c:pt idx="21">
                  <c:v>383128.8311246</c:v>
                </c:pt>
                <c:pt idx="22">
                  <c:v>513682.6699999999</c:v>
                </c:pt>
                <c:pt idx="23">
                  <c:v>610884.33316536</c:v>
                </c:pt>
                <c:pt idx="24">
                  <c:v>689070.10199861</c:v>
                </c:pt>
                <c:pt idx="25">
                  <c:v>816031.438902689</c:v>
                </c:pt>
                <c:pt idx="26">
                  <c:v>890060.1125025083</c:v>
                </c:pt>
                <c:pt idx="27">
                  <c:v>957576.5132787076</c:v>
                </c:pt>
                <c:pt idx="28">
                  <c:v>1.15327812999862E6</c:v>
                </c:pt>
                <c:pt idx="29">
                  <c:v>828385.0931118163</c:v>
                </c:pt>
                <c:pt idx="30">
                  <c:v>1.1518505253737E6</c:v>
                </c:pt>
                <c:pt idx="31">
                  <c:v>1.35482450696309E6</c:v>
                </c:pt>
                <c:pt idx="32">
                  <c:v>1.45572780934436E6</c:v>
                </c:pt>
                <c:pt idx="33">
                  <c:v>1.60385557199429E6</c:v>
                </c:pt>
                <c:pt idx="34">
                  <c:v>1.77585887298489E6</c:v>
                </c:pt>
                <c:pt idx="35">
                  <c:v>1.5230543064006E6</c:v>
                </c:pt>
                <c:pt idx="36">
                  <c:v>1.79305788163359E6</c:v>
                </c:pt>
                <c:pt idx="37">
                  <c:v>2.18035180671714E6</c:v>
                </c:pt>
                <c:pt idx="38">
                  <c:v>2.47410478730103E6</c:v>
                </c:pt>
                <c:pt idx="39">
                  <c:v>2.88483421569307E6</c:v>
                </c:pt>
                <c:pt idx="40">
                  <c:v>3.10664506941967E6</c:v>
                </c:pt>
                <c:pt idx="41">
                  <c:v>3.37997944930284E6</c:v>
                </c:pt>
                <c:pt idx="42">
                  <c:v>3.38597775113949E6</c:v>
                </c:pt>
              </c:numCache>
            </c:numRef>
          </c:val>
          <c:smooth val="0"/>
        </c:ser>
        <c:ser>
          <c:idx val="1"/>
          <c:order val="1"/>
          <c:tx>
            <c:strRef>
              <c:f>NFA_comparison!$C$1</c:f>
              <c:strCache>
                <c:ptCount val="1"/>
                <c:pt idx="0">
                  <c:v>China, mainland</c:v>
                </c:pt>
              </c:strCache>
            </c:strRef>
          </c:tx>
          <c:spPr>
            <a:ln w="19050"/>
          </c:spPr>
          <c:marker>
            <c:symbol val="none"/>
          </c:marker>
          <c:cat>
            <c:numRef>
              <c:f>NFA_comparison!$A$2:$A$44</c:f>
              <c:numCache>
                <c:formatCode>General</c:formatCode>
                <c:ptCount val="43"/>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numCache>
            </c:numRef>
          </c:cat>
          <c:val>
            <c:numRef>
              <c:f>NFA_comparison!$C$2:$C$44</c:f>
              <c:numCache>
                <c:formatCode>0_ </c:formatCode>
                <c:ptCount val="43"/>
                <c:pt idx="11">
                  <c:v>11912.24998711769</c:v>
                </c:pt>
                <c:pt idx="12">
                  <c:v>16179.2993482393</c:v>
                </c:pt>
                <c:pt idx="13">
                  <c:v>19395.46278058386</c:v>
                </c:pt>
                <c:pt idx="14">
                  <c:v>20335.33742172074</c:v>
                </c:pt>
                <c:pt idx="15">
                  <c:v>9633.406510311284</c:v>
                </c:pt>
                <c:pt idx="16">
                  <c:v>-312.2943845191476</c:v>
                </c:pt>
                <c:pt idx="17">
                  <c:v>-7776.452099379886</c:v>
                </c:pt>
                <c:pt idx="18">
                  <c:v>-9867.828963409826</c:v>
                </c:pt>
                <c:pt idx="19">
                  <c:v>-12285.60391227208</c:v>
                </c:pt>
                <c:pt idx="20">
                  <c:v>6933.62358482147</c:v>
                </c:pt>
                <c:pt idx="21">
                  <c:v>20204.93535112962</c:v>
                </c:pt>
                <c:pt idx="22">
                  <c:v>-12991.33429863623</c:v>
                </c:pt>
                <c:pt idx="23">
                  <c:v>-40242.61804845127</c:v>
                </c:pt>
                <c:pt idx="24">
                  <c:v>-39728.92878544782</c:v>
                </c:pt>
                <c:pt idx="25">
                  <c:v>-62240.49797392904</c:v>
                </c:pt>
                <c:pt idx="26">
                  <c:v>-70304.49325340771</c:v>
                </c:pt>
                <c:pt idx="27">
                  <c:v>-44426.73240937485</c:v>
                </c:pt>
                <c:pt idx="28">
                  <c:v>-15113.94305611541</c:v>
                </c:pt>
                <c:pt idx="29">
                  <c:v>849.5485167922452</c:v>
                </c:pt>
                <c:pt idx="30">
                  <c:v>41325.04102259106</c:v>
                </c:pt>
                <c:pt idx="31">
                  <c:v>33286.61146399612</c:v>
                </c:pt>
                <c:pt idx="32">
                  <c:v>94817.26864934107</c:v>
                </c:pt>
                <c:pt idx="33">
                  <c:v>139738.3712998976</c:v>
                </c:pt>
                <c:pt idx="34">
                  <c:v>263112.4147584814</c:v>
                </c:pt>
                <c:pt idx="35">
                  <c:v>371384.7935450566</c:v>
                </c:pt>
                <c:pt idx="36">
                  <c:v>478915.3779515035</c:v>
                </c:pt>
                <c:pt idx="37">
                  <c:v>853777.3916200143</c:v>
                </c:pt>
                <c:pt idx="38">
                  <c:v>1.44313153651814E6</c:v>
                </c:pt>
                <c:pt idx="39">
                  <c:v>1.30827773347491E6</c:v>
                </c:pt>
                <c:pt idx="40">
                  <c:v>1.49973002564321E6</c:v>
                </c:pt>
                <c:pt idx="41">
                  <c:v>1.53384543341025E6</c:v>
                </c:pt>
                <c:pt idx="42">
                  <c:v>1.47385219603096E6</c:v>
                </c:pt>
              </c:numCache>
            </c:numRef>
          </c:val>
          <c:smooth val="0"/>
        </c:ser>
        <c:ser>
          <c:idx val="2"/>
          <c:order val="2"/>
          <c:tx>
            <c:strRef>
              <c:f>NFA_comparison!$D$1</c:f>
              <c:strCache>
                <c:ptCount val="1"/>
                <c:pt idx="0">
                  <c:v>Germany</c:v>
                </c:pt>
              </c:strCache>
            </c:strRef>
          </c:tx>
          <c:spPr>
            <a:ln w="19050"/>
          </c:spPr>
          <c:marker>
            <c:symbol val="none"/>
          </c:marker>
          <c:cat>
            <c:numRef>
              <c:f>NFA_comparison!$A$2:$A$44</c:f>
              <c:numCache>
                <c:formatCode>General</c:formatCode>
                <c:ptCount val="43"/>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numCache>
            </c:numRef>
          </c:cat>
          <c:val>
            <c:numRef>
              <c:f>NFA_comparison!$D$2:$D$44</c:f>
              <c:numCache>
                <c:formatCode>0_ </c:formatCode>
                <c:ptCount val="43"/>
                <c:pt idx="0">
                  <c:v>10695.31968770345</c:v>
                </c:pt>
                <c:pt idx="1">
                  <c:v>12102.16144365836</c:v>
                </c:pt>
                <c:pt idx="2">
                  <c:v>13190.54005061864</c:v>
                </c:pt>
                <c:pt idx="3">
                  <c:v>18030.08905116777</c:v>
                </c:pt>
                <c:pt idx="4">
                  <c:v>31625.63525039764</c:v>
                </c:pt>
                <c:pt idx="5">
                  <c:v>31049.99561326204</c:v>
                </c:pt>
                <c:pt idx="6">
                  <c:v>37799.49280871288</c:v>
                </c:pt>
                <c:pt idx="7">
                  <c:v>41772.27440361644</c:v>
                </c:pt>
                <c:pt idx="8">
                  <c:v>45109.616915558</c:v>
                </c:pt>
                <c:pt idx="9">
                  <c:v>42235.96463944265</c:v>
                </c:pt>
                <c:pt idx="10">
                  <c:v>39606.8990776547</c:v>
                </c:pt>
                <c:pt idx="11">
                  <c:v>36961.40268989501</c:v>
                </c:pt>
                <c:pt idx="12">
                  <c:v>38336.98678639735</c:v>
                </c:pt>
                <c:pt idx="13">
                  <c:v>44070.14323075802</c:v>
                </c:pt>
                <c:pt idx="14">
                  <c:v>54927.05744135939</c:v>
                </c:pt>
                <c:pt idx="15">
                  <c:v>61887.53556123067</c:v>
                </c:pt>
                <c:pt idx="16">
                  <c:v>99404.90375600912</c:v>
                </c:pt>
                <c:pt idx="17">
                  <c:v>169459.1376913445</c:v>
                </c:pt>
                <c:pt idx="18">
                  <c:v>212556.856807697</c:v>
                </c:pt>
                <c:pt idx="19">
                  <c:v>270250.1713861021</c:v>
                </c:pt>
                <c:pt idx="20">
                  <c:v>332542.5206428187</c:v>
                </c:pt>
                <c:pt idx="21">
                  <c:v>311048.6154415077</c:v>
                </c:pt>
                <c:pt idx="22">
                  <c:v>265067.4459278188</c:v>
                </c:pt>
                <c:pt idx="23">
                  <c:v>211864.0059587294</c:v>
                </c:pt>
                <c:pt idx="24">
                  <c:v>197594.0087469001</c:v>
                </c:pt>
                <c:pt idx="25">
                  <c:v>127741.9086411847</c:v>
                </c:pt>
                <c:pt idx="26">
                  <c:v>94071.33706689556</c:v>
                </c:pt>
                <c:pt idx="27">
                  <c:v>90995.7627178398</c:v>
                </c:pt>
                <c:pt idx="28">
                  <c:v>888.412512450479</c:v>
                </c:pt>
                <c:pt idx="29">
                  <c:v>56587.23521003546</c:v>
                </c:pt>
                <c:pt idx="30">
                  <c:v>30329.05520561477</c:v>
                </c:pt>
                <c:pt idx="31">
                  <c:v>129323.555736973</c:v>
                </c:pt>
                <c:pt idx="32">
                  <c:v>74045.269819187</c:v>
                </c:pt>
                <c:pt idx="33">
                  <c:v>131258.8970003403</c:v>
                </c:pt>
                <c:pt idx="34">
                  <c:v>269017.7677941509</c:v>
                </c:pt>
                <c:pt idx="35">
                  <c:v>493764.4360688813</c:v>
                </c:pt>
                <c:pt idx="36">
                  <c:v>779965.0693163564</c:v>
                </c:pt>
                <c:pt idx="37">
                  <c:v>853502.0382553106</c:v>
                </c:pt>
                <c:pt idx="38">
                  <c:v>781585.7229119129</c:v>
                </c:pt>
                <c:pt idx="39">
                  <c:v>1.0217260087849E6</c:v>
                </c:pt>
                <c:pt idx="40">
                  <c:v>1.00776229192101E6</c:v>
                </c:pt>
                <c:pt idx="41">
                  <c:v>946970.6906288583</c:v>
                </c:pt>
                <c:pt idx="42">
                  <c:v>1.26086272965156E6</c:v>
                </c:pt>
              </c:numCache>
            </c:numRef>
          </c:val>
          <c:smooth val="0"/>
        </c:ser>
        <c:ser>
          <c:idx val="3"/>
          <c:order val="3"/>
          <c:tx>
            <c:strRef>
              <c:f>NFA_comparison!$E$1</c:f>
              <c:strCache>
                <c:ptCount val="1"/>
                <c:pt idx="0">
                  <c:v>Switzerland</c:v>
                </c:pt>
              </c:strCache>
            </c:strRef>
          </c:tx>
          <c:spPr>
            <a:ln w="19050"/>
          </c:spPr>
          <c:marker>
            <c:symbol val="none"/>
          </c:marker>
          <c:cat>
            <c:numRef>
              <c:f>NFA_comparison!$A$2:$A$44</c:f>
              <c:numCache>
                <c:formatCode>General</c:formatCode>
                <c:ptCount val="43"/>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numCache>
            </c:numRef>
          </c:cat>
          <c:val>
            <c:numRef>
              <c:f>NFA_comparison!$E$2:$E$44</c:f>
              <c:numCache>
                <c:formatCode>0_ </c:formatCode>
                <c:ptCount val="43"/>
                <c:pt idx="0">
                  <c:v>42223.40697259914</c:v>
                </c:pt>
                <c:pt idx="1">
                  <c:v>49110.78758766616</c:v>
                </c:pt>
                <c:pt idx="2">
                  <c:v>52013.61128025439</c:v>
                </c:pt>
                <c:pt idx="3">
                  <c:v>56021.58667126087</c:v>
                </c:pt>
                <c:pt idx="4">
                  <c:v>64350.22874947517</c:v>
                </c:pt>
                <c:pt idx="5">
                  <c:v>62735.50185897112</c:v>
                </c:pt>
                <c:pt idx="6">
                  <c:v>64479.18280656049</c:v>
                </c:pt>
                <c:pt idx="7">
                  <c:v>71125.45354980798</c:v>
                </c:pt>
                <c:pt idx="8">
                  <c:v>87735.7506887486</c:v>
                </c:pt>
                <c:pt idx="9">
                  <c:v>90474.59437590349</c:v>
                </c:pt>
                <c:pt idx="10">
                  <c:v>87681.37957971727</c:v>
                </c:pt>
                <c:pt idx="11">
                  <c:v>81267.8590734381</c:v>
                </c:pt>
                <c:pt idx="12">
                  <c:v>88908.07214214566</c:v>
                </c:pt>
                <c:pt idx="13">
                  <c:v>64394.9664140793</c:v>
                </c:pt>
                <c:pt idx="14">
                  <c:v>78055.5715724176</c:v>
                </c:pt>
                <c:pt idx="15">
                  <c:v>94392.32687049947</c:v>
                </c:pt>
                <c:pt idx="16">
                  <c:v>110113.7474991134</c:v>
                </c:pt>
                <c:pt idx="17">
                  <c:v>161034.3107633355</c:v>
                </c:pt>
                <c:pt idx="18">
                  <c:v>164282.699075883</c:v>
                </c:pt>
                <c:pt idx="19">
                  <c:v>161608.4883857565</c:v>
                </c:pt>
                <c:pt idx="20">
                  <c:v>186755.8075672707</c:v>
                </c:pt>
                <c:pt idx="21">
                  <c:v>203121.5326323167</c:v>
                </c:pt>
                <c:pt idx="22">
                  <c:v>204810.4806593406</c:v>
                </c:pt>
                <c:pt idx="23">
                  <c:v>209430.0063606593</c:v>
                </c:pt>
                <c:pt idx="24">
                  <c:v>232652.0726835429</c:v>
                </c:pt>
                <c:pt idx="25">
                  <c:v>255791.9019370509</c:v>
                </c:pt>
                <c:pt idx="26">
                  <c:v>294973.9847191094</c:v>
                </c:pt>
                <c:pt idx="27">
                  <c:v>267508.4196427558</c:v>
                </c:pt>
                <c:pt idx="28">
                  <c:v>315003.115614288</c:v>
                </c:pt>
                <c:pt idx="29">
                  <c:v>309443.6208149288</c:v>
                </c:pt>
                <c:pt idx="30">
                  <c:v>264345.9630527195</c:v>
                </c:pt>
                <c:pt idx="31">
                  <c:v>303653.429555571</c:v>
                </c:pt>
                <c:pt idx="32">
                  <c:v>371264.4099849842</c:v>
                </c:pt>
                <c:pt idx="33">
                  <c:v>437405.0318477922</c:v>
                </c:pt>
                <c:pt idx="34">
                  <c:v>489051.3208810798</c:v>
                </c:pt>
                <c:pt idx="35">
                  <c:v>457096.285302232</c:v>
                </c:pt>
                <c:pt idx="36">
                  <c:v>495424.0017917834</c:v>
                </c:pt>
                <c:pt idx="37">
                  <c:v>660433.3240756886</c:v>
                </c:pt>
                <c:pt idx="38">
                  <c:v>587822.0473519293</c:v>
                </c:pt>
                <c:pt idx="39">
                  <c:v>718458.718113869</c:v>
                </c:pt>
                <c:pt idx="40">
                  <c:v>798536.2470520208</c:v>
                </c:pt>
                <c:pt idx="41">
                  <c:v>834495.5985269197</c:v>
                </c:pt>
                <c:pt idx="42">
                  <c:v>898882.0456107496</c:v>
                </c:pt>
              </c:numCache>
            </c:numRef>
          </c:val>
          <c:smooth val="0"/>
        </c:ser>
        <c:ser>
          <c:idx val="4"/>
          <c:order val="4"/>
          <c:tx>
            <c:strRef>
              <c:f>NFA_comparison!$F$1</c:f>
              <c:strCache>
                <c:ptCount val="1"/>
                <c:pt idx="0">
                  <c:v>Norway</c:v>
                </c:pt>
              </c:strCache>
            </c:strRef>
          </c:tx>
          <c:spPr>
            <a:ln w="19050"/>
          </c:spPr>
          <c:marker>
            <c:symbol val="none"/>
          </c:marker>
          <c:cat>
            <c:numRef>
              <c:f>NFA_comparison!$A$2:$A$44</c:f>
              <c:numCache>
                <c:formatCode>General</c:formatCode>
                <c:ptCount val="43"/>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numCache>
            </c:numRef>
          </c:cat>
          <c:val>
            <c:numRef>
              <c:f>NFA_comparison!$F$2:$F$44</c:f>
              <c:numCache>
                <c:formatCode>0_ </c:formatCode>
                <c:ptCount val="43"/>
                <c:pt idx="0">
                  <c:v>-1365.55306303342</c:v>
                </c:pt>
                <c:pt idx="1">
                  <c:v>-2147.643660316462</c:v>
                </c:pt>
                <c:pt idx="2">
                  <c:v>-2462.558683589042</c:v>
                </c:pt>
                <c:pt idx="3">
                  <c:v>-3232.237340781585</c:v>
                </c:pt>
                <c:pt idx="4">
                  <c:v>-5090.119530513637</c:v>
                </c:pt>
                <c:pt idx="5">
                  <c:v>-7849.454218552846</c:v>
                </c:pt>
                <c:pt idx="6">
                  <c:v>-12766.71722611814</c:v>
                </c:pt>
                <c:pt idx="7">
                  <c:v>-19421.22808257407</c:v>
                </c:pt>
                <c:pt idx="8">
                  <c:v>-23957.46048575236</c:v>
                </c:pt>
                <c:pt idx="9">
                  <c:v>-25440.01124129348</c:v>
                </c:pt>
                <c:pt idx="10">
                  <c:v>-21840.9000073259</c:v>
                </c:pt>
                <c:pt idx="11">
                  <c:v>-19914.38939788189</c:v>
                </c:pt>
                <c:pt idx="12">
                  <c:v>-19008.00053480939</c:v>
                </c:pt>
                <c:pt idx="13">
                  <c:v>-16713.54561401006</c:v>
                </c:pt>
                <c:pt idx="14">
                  <c:v>-12350.22125477595</c:v>
                </c:pt>
                <c:pt idx="15">
                  <c:v>-10019.15172045103</c:v>
                </c:pt>
                <c:pt idx="16">
                  <c:v>-16623.4681348411</c:v>
                </c:pt>
                <c:pt idx="17">
                  <c:v>-20178.56196416705</c:v>
                </c:pt>
                <c:pt idx="18">
                  <c:v>-21489.36503420155</c:v>
                </c:pt>
                <c:pt idx="19">
                  <c:v>-22524.91606152691</c:v>
                </c:pt>
                <c:pt idx="20">
                  <c:v>-16327.67899440498</c:v>
                </c:pt>
                <c:pt idx="21">
                  <c:v>-13613.90250672588</c:v>
                </c:pt>
                <c:pt idx="22">
                  <c:v>-7889.098416042529</c:v>
                </c:pt>
                <c:pt idx="23">
                  <c:v>-4224.687698975322</c:v>
                </c:pt>
                <c:pt idx="24">
                  <c:v>1450.475128305945</c:v>
                </c:pt>
                <c:pt idx="25">
                  <c:v>5592.694241323712</c:v>
                </c:pt>
                <c:pt idx="26">
                  <c:v>6767.419843625306</c:v>
                </c:pt>
                <c:pt idx="27">
                  <c:v>10704.3775420889</c:v>
                </c:pt>
                <c:pt idx="28">
                  <c:v>16979.23113308437</c:v>
                </c:pt>
                <c:pt idx="29">
                  <c:v>36783.54764869477</c:v>
                </c:pt>
                <c:pt idx="30">
                  <c:v>46941.35141764572</c:v>
                </c:pt>
                <c:pt idx="31">
                  <c:v>60908.05135286227</c:v>
                </c:pt>
                <c:pt idx="32">
                  <c:v>90525.02101147221</c:v>
                </c:pt>
                <c:pt idx="33">
                  <c:v>112822.0415655661</c:v>
                </c:pt>
                <c:pt idx="34">
                  <c:v>127937.9976763801</c:v>
                </c:pt>
                <c:pt idx="35">
                  <c:v>168455.3308362419</c:v>
                </c:pt>
                <c:pt idx="36">
                  <c:v>207673.9961361052</c:v>
                </c:pt>
                <c:pt idx="37">
                  <c:v>225858.1147521874</c:v>
                </c:pt>
                <c:pt idx="38">
                  <c:v>210606.5339021034</c:v>
                </c:pt>
                <c:pt idx="39">
                  <c:v>323808.3710917776</c:v>
                </c:pt>
                <c:pt idx="40">
                  <c:v>381808.3043926285</c:v>
                </c:pt>
                <c:pt idx="41">
                  <c:v>420218.6115740868</c:v>
                </c:pt>
                <c:pt idx="42">
                  <c:v>516303.6378023704</c:v>
                </c:pt>
              </c:numCache>
            </c:numRef>
          </c:val>
          <c:smooth val="0"/>
        </c:ser>
        <c:ser>
          <c:idx val="5"/>
          <c:order val="5"/>
          <c:tx>
            <c:strRef>
              <c:f>NFA_comparison!$G$1</c:f>
              <c:strCache>
                <c:ptCount val="1"/>
                <c:pt idx="0">
                  <c:v>UK</c:v>
                </c:pt>
              </c:strCache>
            </c:strRef>
          </c:tx>
          <c:spPr>
            <a:ln w="19050"/>
          </c:spPr>
          <c:marker>
            <c:symbol val="none"/>
          </c:marker>
          <c:cat>
            <c:numRef>
              <c:f>NFA_comparison!$A$2:$A$44</c:f>
              <c:numCache>
                <c:formatCode>General</c:formatCode>
                <c:ptCount val="43"/>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numCache>
            </c:numRef>
          </c:cat>
          <c:val>
            <c:numRef>
              <c:f>NFA_comparison!$G$2:$G$44</c:f>
              <c:numCache>
                <c:formatCode>0_ </c:formatCode>
                <c:ptCount val="43"/>
                <c:pt idx="0">
                  <c:v>5947.802898132999</c:v>
                </c:pt>
                <c:pt idx="1">
                  <c:v>10179.13232644276</c:v>
                </c:pt>
                <c:pt idx="2">
                  <c:v>11892.61125899898</c:v>
                </c:pt>
                <c:pt idx="3">
                  <c:v>8690.593637420883</c:v>
                </c:pt>
                <c:pt idx="4">
                  <c:v>1033.01334923692</c:v>
                </c:pt>
                <c:pt idx="5">
                  <c:v>586.0829141829745</c:v>
                </c:pt>
                <c:pt idx="6">
                  <c:v>3145.049947031803</c:v>
                </c:pt>
                <c:pt idx="7">
                  <c:v>6242.109686176932</c:v>
                </c:pt>
                <c:pt idx="8">
                  <c:v>15838.8845662775</c:v>
                </c:pt>
                <c:pt idx="9">
                  <c:v>9713.852945243532</c:v>
                </c:pt>
                <c:pt idx="10">
                  <c:v>32143.87563759345</c:v>
                </c:pt>
                <c:pt idx="11">
                  <c:v>54706.95212445396</c:v>
                </c:pt>
                <c:pt idx="12">
                  <c:v>61722.07192459912</c:v>
                </c:pt>
                <c:pt idx="13">
                  <c:v>73354.80827380379</c:v>
                </c:pt>
                <c:pt idx="14">
                  <c:v>84709.52046611602</c:v>
                </c:pt>
                <c:pt idx="15">
                  <c:v>96281.69457680848</c:v>
                </c:pt>
                <c:pt idx="16">
                  <c:v>139716.5975139999</c:v>
                </c:pt>
                <c:pt idx="17">
                  <c:v>85066.61158080003</c:v>
                </c:pt>
                <c:pt idx="18">
                  <c:v>81017.01595599973</c:v>
                </c:pt>
                <c:pt idx="19">
                  <c:v>76567.65280319983</c:v>
                </c:pt>
                <c:pt idx="20">
                  <c:v>-31761.49147360027</c:v>
                </c:pt>
                <c:pt idx="21">
                  <c:v>-11557.65797870024</c:v>
                </c:pt>
                <c:pt idx="22">
                  <c:v>13192.92149999994</c:v>
                </c:pt>
                <c:pt idx="23">
                  <c:v>39196.95032291976</c:v>
                </c:pt>
                <c:pt idx="24">
                  <c:v>31115.79817134002</c:v>
                </c:pt>
                <c:pt idx="25">
                  <c:v>-27337.58193082316</c:v>
                </c:pt>
                <c:pt idx="26">
                  <c:v>-100699.867714759</c:v>
                </c:pt>
                <c:pt idx="27">
                  <c:v>-96077.6037512957</c:v>
                </c:pt>
                <c:pt idx="28">
                  <c:v>-200698.3952094866</c:v>
                </c:pt>
                <c:pt idx="29">
                  <c:v>-306744.6183288908</c:v>
                </c:pt>
                <c:pt idx="30">
                  <c:v>-147705.1781148352</c:v>
                </c:pt>
                <c:pt idx="31">
                  <c:v>-201057.447254343</c:v>
                </c:pt>
                <c:pt idx="32">
                  <c:v>-196925.0542506045</c:v>
                </c:pt>
                <c:pt idx="33">
                  <c:v>-216194.2295368714</c:v>
                </c:pt>
                <c:pt idx="34">
                  <c:v>-431207.2442585547</c:v>
                </c:pt>
                <c:pt idx="35">
                  <c:v>-439069.0015201401</c:v>
                </c:pt>
                <c:pt idx="36">
                  <c:v>-761654.858321091</c:v>
                </c:pt>
                <c:pt idx="37">
                  <c:v>-651921.4140406083</c:v>
                </c:pt>
                <c:pt idx="38">
                  <c:v>-156511.7277195975</c:v>
                </c:pt>
                <c:pt idx="39">
                  <c:v>-502030.73321894</c:v>
                </c:pt>
                <c:pt idx="40">
                  <c:v>-571110.8027544952</c:v>
                </c:pt>
                <c:pt idx="41">
                  <c:v>-422907.485859666</c:v>
                </c:pt>
                <c:pt idx="42">
                  <c:v>-266811.223882392</c:v>
                </c:pt>
              </c:numCache>
            </c:numRef>
          </c:val>
          <c:smooth val="0"/>
        </c:ser>
        <c:ser>
          <c:idx val="6"/>
          <c:order val="6"/>
          <c:tx>
            <c:strRef>
              <c:f>NFA_comparison!$H$1</c:f>
              <c:strCache>
                <c:ptCount val="1"/>
                <c:pt idx="0">
                  <c:v>Italy</c:v>
                </c:pt>
              </c:strCache>
            </c:strRef>
          </c:tx>
          <c:spPr>
            <a:ln w="19050"/>
          </c:spPr>
          <c:marker>
            <c:symbol val="none"/>
          </c:marker>
          <c:cat>
            <c:numRef>
              <c:f>NFA_comparison!$A$2:$A$44</c:f>
              <c:numCache>
                <c:formatCode>General</c:formatCode>
                <c:ptCount val="43"/>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numCache>
            </c:numRef>
          </c:cat>
          <c:val>
            <c:numRef>
              <c:f>NFA_comparison!$H$2:$H$44</c:f>
              <c:numCache>
                <c:formatCode>0_ </c:formatCode>
                <c:ptCount val="43"/>
                <c:pt idx="0">
                  <c:v>3743.235017910683</c:v>
                </c:pt>
                <c:pt idx="1">
                  <c:v>4901.74061939559</c:v>
                </c:pt>
                <c:pt idx="2">
                  <c:v>6294.286485459248</c:v>
                </c:pt>
                <c:pt idx="3">
                  <c:v>-784.8690070669545</c:v>
                </c:pt>
                <c:pt idx="4">
                  <c:v>-3072.934107224901</c:v>
                </c:pt>
                <c:pt idx="5">
                  <c:v>-7026.995734702526</c:v>
                </c:pt>
                <c:pt idx="6">
                  <c:v>-9266.243617050473</c:v>
                </c:pt>
                <c:pt idx="7">
                  <c:v>-6229.021948036643</c:v>
                </c:pt>
                <c:pt idx="8">
                  <c:v>-775.8441864507768</c:v>
                </c:pt>
                <c:pt idx="9">
                  <c:v>8615.341708370367</c:v>
                </c:pt>
                <c:pt idx="10">
                  <c:v>-3563.049938265089</c:v>
                </c:pt>
                <c:pt idx="11">
                  <c:v>-16162.31193086393</c:v>
                </c:pt>
                <c:pt idx="12">
                  <c:v>-23041.65870432246</c:v>
                </c:pt>
                <c:pt idx="13">
                  <c:v>-19339.68896341306</c:v>
                </c:pt>
                <c:pt idx="14">
                  <c:v>-18899.17202064347</c:v>
                </c:pt>
                <c:pt idx="15">
                  <c:v>-38645.93405952945</c:v>
                </c:pt>
                <c:pt idx="16">
                  <c:v>-47863.71338580921</c:v>
                </c:pt>
                <c:pt idx="17">
                  <c:v>-53072.74160396517</c:v>
                </c:pt>
                <c:pt idx="18">
                  <c:v>-61023.57290106951</c:v>
                </c:pt>
                <c:pt idx="19">
                  <c:v>-86979.04393677751</c:v>
                </c:pt>
                <c:pt idx="20">
                  <c:v>-138803.0409399407</c:v>
                </c:pt>
                <c:pt idx="21">
                  <c:v>-160911.3897028318</c:v>
                </c:pt>
                <c:pt idx="22">
                  <c:v>-150574.2662815363</c:v>
                </c:pt>
                <c:pt idx="23">
                  <c:v>-125397.6200028134</c:v>
                </c:pt>
                <c:pt idx="24">
                  <c:v>-112949.092174139</c:v>
                </c:pt>
                <c:pt idx="25">
                  <c:v>-100883.5233168314</c:v>
                </c:pt>
                <c:pt idx="26">
                  <c:v>-105198.526972559</c:v>
                </c:pt>
                <c:pt idx="27">
                  <c:v>-99070.8119333454</c:v>
                </c:pt>
                <c:pt idx="28">
                  <c:v>-136945.8634773213</c:v>
                </c:pt>
                <c:pt idx="29">
                  <c:v>-174930.8984003118</c:v>
                </c:pt>
                <c:pt idx="30">
                  <c:v>-167760.6605262198</c:v>
                </c:pt>
                <c:pt idx="31">
                  <c:v>-131069.2750511586</c:v>
                </c:pt>
                <c:pt idx="32">
                  <c:v>-214037.7858669141</c:v>
                </c:pt>
                <c:pt idx="33">
                  <c:v>-287848.1836448163</c:v>
                </c:pt>
                <c:pt idx="34">
                  <c:v>-343100.7172513125</c:v>
                </c:pt>
                <c:pt idx="35">
                  <c:v>-304680.9350516943</c:v>
                </c:pt>
                <c:pt idx="36">
                  <c:v>-452592.3353153346</c:v>
                </c:pt>
                <c:pt idx="37">
                  <c:v>-626855.5745593775</c:v>
                </c:pt>
                <c:pt idx="38">
                  <c:v>-596545.077973715</c:v>
                </c:pt>
                <c:pt idx="39">
                  <c:v>-652235.2714118077</c:v>
                </c:pt>
                <c:pt idx="40">
                  <c:v>-616668.2008226975</c:v>
                </c:pt>
                <c:pt idx="41">
                  <c:v>-578523.0178552023</c:v>
                </c:pt>
                <c:pt idx="42">
                  <c:v>-687824.538341092</c:v>
                </c:pt>
              </c:numCache>
            </c:numRef>
          </c:val>
          <c:smooth val="0"/>
        </c:ser>
        <c:ser>
          <c:idx val="7"/>
          <c:order val="7"/>
          <c:tx>
            <c:strRef>
              <c:f>NFA_comparison!$I$1</c:f>
              <c:strCache>
                <c:ptCount val="1"/>
                <c:pt idx="0">
                  <c:v>France</c:v>
                </c:pt>
              </c:strCache>
            </c:strRef>
          </c:tx>
          <c:spPr>
            <a:ln w="19050"/>
          </c:spPr>
          <c:marker>
            <c:symbol val="none"/>
          </c:marker>
          <c:cat>
            <c:numRef>
              <c:f>NFA_comparison!$A$2:$A$44</c:f>
              <c:numCache>
                <c:formatCode>General</c:formatCode>
                <c:ptCount val="43"/>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numCache>
            </c:numRef>
          </c:cat>
          <c:val>
            <c:numRef>
              <c:f>NFA_comparison!$I$2:$I$44</c:f>
              <c:numCache>
                <c:formatCode>0_ </c:formatCode>
                <c:ptCount val="43"/>
                <c:pt idx="0">
                  <c:v>197235.4687811207</c:v>
                </c:pt>
                <c:pt idx="1">
                  <c:v>214391.0573596658</c:v>
                </c:pt>
                <c:pt idx="2">
                  <c:v>235692.2716991186</c:v>
                </c:pt>
                <c:pt idx="3">
                  <c:v>218649.634681431</c:v>
                </c:pt>
                <c:pt idx="4">
                  <c:v>185814.1025141635</c:v>
                </c:pt>
                <c:pt idx="5">
                  <c:v>209296.1641678996</c:v>
                </c:pt>
                <c:pt idx="6">
                  <c:v>217644.0670615096</c:v>
                </c:pt>
                <c:pt idx="7">
                  <c:v>213083.7576259521</c:v>
                </c:pt>
                <c:pt idx="8">
                  <c:v>227384.5234808286</c:v>
                </c:pt>
                <c:pt idx="9">
                  <c:v>240366.6409596781</c:v>
                </c:pt>
                <c:pt idx="10">
                  <c:v>254135.6447219644</c:v>
                </c:pt>
                <c:pt idx="11">
                  <c:v>222200.0511125692</c:v>
                </c:pt>
                <c:pt idx="12">
                  <c:v>205176.2820133716</c:v>
                </c:pt>
                <c:pt idx="13">
                  <c:v>208493.73787846</c:v>
                </c:pt>
                <c:pt idx="14">
                  <c:v>209283.314089269</c:v>
                </c:pt>
                <c:pt idx="15">
                  <c:v>235000.8754262525</c:v>
                </c:pt>
                <c:pt idx="16">
                  <c:v>249853.9114151932</c:v>
                </c:pt>
                <c:pt idx="17">
                  <c:v>277860.3028697516</c:v>
                </c:pt>
                <c:pt idx="18">
                  <c:v>265257.6344386487</c:v>
                </c:pt>
                <c:pt idx="19">
                  <c:v>207066.8362338883</c:v>
                </c:pt>
                <c:pt idx="20">
                  <c:v>96602.44967265555</c:v>
                </c:pt>
                <c:pt idx="21">
                  <c:v>12324.12304718746</c:v>
                </c:pt>
                <c:pt idx="22">
                  <c:v>-35509.0872059979</c:v>
                </c:pt>
                <c:pt idx="23">
                  <c:v>-105007.0733213432</c:v>
                </c:pt>
                <c:pt idx="24">
                  <c:v>-56696.33673398988</c:v>
                </c:pt>
                <c:pt idx="25">
                  <c:v>-67018.19011512887</c:v>
                </c:pt>
                <c:pt idx="26">
                  <c:v>13315.2980617315</c:v>
                </c:pt>
                <c:pt idx="27">
                  <c:v>130573.4503860171</c:v>
                </c:pt>
                <c:pt idx="28">
                  <c:v>106972.5057890338</c:v>
                </c:pt>
                <c:pt idx="29">
                  <c:v>-18467.93942825496</c:v>
                </c:pt>
                <c:pt idx="30">
                  <c:v>221482.9079210181</c:v>
                </c:pt>
                <c:pt idx="31">
                  <c:v>147622.4266724535</c:v>
                </c:pt>
                <c:pt idx="32">
                  <c:v>11827.33205892565</c:v>
                </c:pt>
                <c:pt idx="33">
                  <c:v>-27532.612424816</c:v>
                </c:pt>
                <c:pt idx="34">
                  <c:v>-65222.55797312222</c:v>
                </c:pt>
                <c:pt idx="35">
                  <c:v>-23859.02233376633</c:v>
                </c:pt>
                <c:pt idx="36">
                  <c:v>-29164.36530801747</c:v>
                </c:pt>
                <c:pt idx="37">
                  <c:v>-111157.2655348908</c:v>
                </c:pt>
                <c:pt idx="38">
                  <c:v>-415776.3631834304</c:v>
                </c:pt>
                <c:pt idx="39">
                  <c:v>-357351.4436601186</c:v>
                </c:pt>
                <c:pt idx="40">
                  <c:v>-449938.5317974808</c:v>
                </c:pt>
                <c:pt idx="41">
                  <c:v>-625438.8103491738</c:v>
                </c:pt>
                <c:pt idx="42">
                  <c:v>-712677.1681775236</c:v>
                </c:pt>
              </c:numCache>
            </c:numRef>
          </c:val>
          <c:smooth val="0"/>
        </c:ser>
        <c:ser>
          <c:idx val="8"/>
          <c:order val="8"/>
          <c:tx>
            <c:strRef>
              <c:f>NFA_comparison!$J$1</c:f>
              <c:strCache>
                <c:ptCount val="1"/>
                <c:pt idx="0">
                  <c:v>US</c:v>
                </c:pt>
              </c:strCache>
            </c:strRef>
          </c:tx>
          <c:spPr>
            <a:ln w="19050"/>
          </c:spPr>
          <c:marker>
            <c:symbol val="none"/>
          </c:marker>
          <c:cat>
            <c:numRef>
              <c:f>NFA_comparison!$A$2:$A$44</c:f>
              <c:numCache>
                <c:formatCode>General</c:formatCode>
                <c:ptCount val="43"/>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numCache>
            </c:numRef>
          </c:cat>
          <c:val>
            <c:numRef>
              <c:f>NFA_comparison!$J$2:$J$44</c:f>
              <c:numCache>
                <c:formatCode>0_ </c:formatCode>
                <c:ptCount val="43"/>
                <c:pt idx="0">
                  <c:v>88179.6277645679</c:v>
                </c:pt>
                <c:pt idx="1">
                  <c:v>79875.48466887046</c:v>
                </c:pt>
                <c:pt idx="2">
                  <c:v>82362.3302405501</c:v>
                </c:pt>
                <c:pt idx="3">
                  <c:v>103411.7586326005</c:v>
                </c:pt>
                <c:pt idx="4">
                  <c:v>114445.4537150561</c:v>
                </c:pt>
                <c:pt idx="5">
                  <c:v>126284.8202239669</c:v>
                </c:pt>
                <c:pt idx="6">
                  <c:v>125763.9927498222</c:v>
                </c:pt>
                <c:pt idx="7">
                  <c:v>123824.4821173</c:v>
                </c:pt>
                <c:pt idx="8">
                  <c:v>142592.2933842002</c:v>
                </c:pt>
                <c:pt idx="9">
                  <c:v>180187.019266981</c:v>
                </c:pt>
                <c:pt idx="10">
                  <c:v>217977.2894081507</c:v>
                </c:pt>
                <c:pt idx="11">
                  <c:v>249177.8853370725</c:v>
                </c:pt>
                <c:pt idx="12">
                  <c:v>210737.38381538</c:v>
                </c:pt>
                <c:pt idx="13">
                  <c:v>201920.6861428949</c:v>
                </c:pt>
                <c:pt idx="14">
                  <c:v>85544.78742279997</c:v>
                </c:pt>
                <c:pt idx="15">
                  <c:v>-24095.54761811555</c:v>
                </c:pt>
                <c:pt idx="16">
                  <c:v>-130181.6255397</c:v>
                </c:pt>
                <c:pt idx="17">
                  <c:v>-198568.7190425999</c:v>
                </c:pt>
                <c:pt idx="18">
                  <c:v>-274891.28661</c:v>
                </c:pt>
                <c:pt idx="19">
                  <c:v>-351396.4254288</c:v>
                </c:pt>
                <c:pt idx="20">
                  <c:v>-332780.7464536</c:v>
                </c:pt>
                <c:pt idx="21">
                  <c:v>-384315.5400409</c:v>
                </c:pt>
                <c:pt idx="22">
                  <c:v>-498188.3812500001</c:v>
                </c:pt>
                <c:pt idx="23">
                  <c:v>-387051.2850214001</c:v>
                </c:pt>
                <c:pt idx="24">
                  <c:v>-398567.8737727855</c:v>
                </c:pt>
                <c:pt idx="25">
                  <c:v>-531473.50663653</c:v>
                </c:pt>
                <c:pt idx="26">
                  <c:v>-560036.1839470826</c:v>
                </c:pt>
                <c:pt idx="27">
                  <c:v>-862103.0767463325</c:v>
                </c:pt>
                <c:pt idx="28">
                  <c:v>-933654.126102928</c:v>
                </c:pt>
                <c:pt idx="29">
                  <c:v>-806986.4406507965</c:v>
                </c:pt>
                <c:pt idx="30">
                  <c:v>-1.4088135801006E6</c:v>
                </c:pt>
                <c:pt idx="31">
                  <c:v>-1.94735931813888E6</c:v>
                </c:pt>
                <c:pt idx="32">
                  <c:v>-2.13527067417865E6</c:v>
                </c:pt>
                <c:pt idx="33">
                  <c:v>-2.20247039163927E6</c:v>
                </c:pt>
                <c:pt idx="34">
                  <c:v>-2.36672687486815E6</c:v>
                </c:pt>
                <c:pt idx="35">
                  <c:v>-2.0661097327417E6</c:v>
                </c:pt>
                <c:pt idx="36">
                  <c:v>-2.35665016625359E6</c:v>
                </c:pt>
                <c:pt idx="37">
                  <c:v>-2.01369132428137E6</c:v>
                </c:pt>
                <c:pt idx="38">
                  <c:v>-3.48728232468778E6</c:v>
                </c:pt>
                <c:pt idx="39">
                  <c:v>-2.55927447042727E6</c:v>
                </c:pt>
                <c:pt idx="40">
                  <c:v>-2.61757833755524E6</c:v>
                </c:pt>
                <c:pt idx="41">
                  <c:v>-4.13071302611567E6</c:v>
                </c:pt>
                <c:pt idx="42">
                  <c:v>-4.29712861998711E6</c:v>
                </c:pt>
              </c:numCache>
            </c:numRef>
          </c:val>
          <c:smooth val="0"/>
        </c:ser>
        <c:dLbls>
          <c:showLegendKey val="0"/>
          <c:showVal val="0"/>
          <c:showCatName val="0"/>
          <c:showSerName val="0"/>
          <c:showPercent val="0"/>
          <c:showBubbleSize val="0"/>
        </c:dLbls>
        <c:marker val="1"/>
        <c:smooth val="0"/>
        <c:axId val="2109710616"/>
        <c:axId val="2109713496"/>
      </c:lineChart>
      <c:catAx>
        <c:axId val="2109710616"/>
        <c:scaling>
          <c:orientation val="minMax"/>
        </c:scaling>
        <c:delete val="0"/>
        <c:axPos val="b"/>
        <c:numFmt formatCode="General" sourceLinked="1"/>
        <c:majorTickMark val="out"/>
        <c:minorTickMark val="none"/>
        <c:tickLblPos val="nextTo"/>
        <c:crossAx val="2109713496"/>
        <c:crossesAt val="-5.0E216"/>
        <c:auto val="1"/>
        <c:lblAlgn val="ctr"/>
        <c:lblOffset val="100"/>
        <c:tickLblSkip val="10"/>
        <c:tickMarkSkip val="10"/>
        <c:noMultiLvlLbl val="0"/>
      </c:catAx>
      <c:valAx>
        <c:axId val="2109713496"/>
        <c:scaling>
          <c:orientation val="minMax"/>
        </c:scaling>
        <c:delete val="0"/>
        <c:axPos val="l"/>
        <c:numFmt formatCode="0_ " sourceLinked="1"/>
        <c:majorTickMark val="out"/>
        <c:minorTickMark val="none"/>
        <c:tickLblPos val="nextTo"/>
        <c:crossAx val="2109710616"/>
        <c:crosses val="autoZero"/>
        <c:crossBetween val="between"/>
        <c:dispUnits>
          <c:builtInUnit val="thousands"/>
        </c:dispUnits>
      </c:valAx>
    </c:plotArea>
    <c:legend>
      <c:legendPos val="r"/>
      <c:layout/>
      <c:overlay val="0"/>
    </c:legend>
    <c:plotVisOnly val="1"/>
    <c:dispBlanksAs val="gap"/>
    <c:showDLblsOverMax val="0"/>
  </c:chart>
  <c:txPr>
    <a:bodyPr/>
    <a:lstStyle/>
    <a:p>
      <a:pPr>
        <a:defRPr>
          <a:latin typeface="Times New Roman"/>
          <a:cs typeface="Times New Roman"/>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Income_Puzzle!$F$1</c:f>
              <c:strCache>
                <c:ptCount val="1"/>
                <c:pt idx="0">
                  <c:v>NFA/GDP</c:v>
                </c:pt>
              </c:strCache>
            </c:strRef>
          </c:tx>
          <c:invertIfNegative val="0"/>
          <c:cat>
            <c:numRef>
              <c:f>Income_Puzzle!$A$4:$A$47</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Income_Puzzle!$F$4:$F$47</c:f>
              <c:numCache>
                <c:formatCode>0.00_ </c:formatCode>
                <c:ptCount val="44"/>
                <c:pt idx="0">
                  <c:v>5.962406263167957</c:v>
                </c:pt>
                <c:pt idx="1">
                  <c:v>7.785566919480187</c:v>
                </c:pt>
                <c:pt idx="2">
                  <c:v>7.589044263021935</c:v>
                </c:pt>
                <c:pt idx="3">
                  <c:v>3.890174808837633</c:v>
                </c:pt>
                <c:pt idx="4">
                  <c:v>-1.839644879810107</c:v>
                </c:pt>
                <c:pt idx="5">
                  <c:v>1.824279629108811</c:v>
                </c:pt>
                <c:pt idx="6">
                  <c:v>2.510432133015803</c:v>
                </c:pt>
                <c:pt idx="7">
                  <c:v>4.507070730355497</c:v>
                </c:pt>
                <c:pt idx="8">
                  <c:v>5.064555401011145</c:v>
                </c:pt>
                <c:pt idx="9">
                  <c:v>2.723469906482</c:v>
                </c:pt>
                <c:pt idx="10">
                  <c:v>1.067832815751461</c:v>
                </c:pt>
                <c:pt idx="11">
                  <c:v>0.998353882423941</c:v>
                </c:pt>
                <c:pt idx="12">
                  <c:v>2.329491208037138</c:v>
                </c:pt>
                <c:pt idx="13">
                  <c:v>3.102982430962923</c:v>
                </c:pt>
                <c:pt idx="14">
                  <c:v>5.831868294896516</c:v>
                </c:pt>
                <c:pt idx="15">
                  <c:v>9.520020422443672</c:v>
                </c:pt>
                <c:pt idx="16">
                  <c:v>8.927100902335041</c:v>
                </c:pt>
                <c:pt idx="17">
                  <c:v>9.833599404299514</c:v>
                </c:pt>
                <c:pt idx="18">
                  <c:v>9.82143700990004</c:v>
                </c:pt>
                <c:pt idx="19">
                  <c:v>9.865800642936173</c:v>
                </c:pt>
                <c:pt idx="20">
                  <c:v>10.73075509850143</c:v>
                </c:pt>
                <c:pt idx="21">
                  <c:v>10.99437813597307</c:v>
                </c:pt>
                <c:pt idx="22">
                  <c:v>13.53180585198274</c:v>
                </c:pt>
                <c:pt idx="23">
                  <c:v>14.0432764402812</c:v>
                </c:pt>
                <c:pt idx="24">
                  <c:v>14.20661237055882</c:v>
                </c:pt>
                <c:pt idx="25">
                  <c:v>15.29888740417092</c:v>
                </c:pt>
                <c:pt idx="26">
                  <c:v>18.9125449988261</c:v>
                </c:pt>
                <c:pt idx="27">
                  <c:v>22.14418667861374</c:v>
                </c:pt>
                <c:pt idx="28">
                  <c:v>29.46113356014968</c:v>
                </c:pt>
                <c:pt idx="29">
                  <c:v>18.68847320951709</c:v>
                </c:pt>
                <c:pt idx="30">
                  <c:v>24.34584903157895</c:v>
                </c:pt>
                <c:pt idx="31">
                  <c:v>32.5690062448531</c:v>
                </c:pt>
                <c:pt idx="32">
                  <c:v>36.56855124032</c:v>
                </c:pt>
                <c:pt idx="33">
                  <c:v>37.2734776701175</c:v>
                </c:pt>
                <c:pt idx="34">
                  <c:v>38.14276033894994</c:v>
                </c:pt>
                <c:pt idx="35">
                  <c:v>33.31361828024252</c:v>
                </c:pt>
                <c:pt idx="36">
                  <c:v>41.15586099751493</c:v>
                </c:pt>
                <c:pt idx="37">
                  <c:v>50.0500063289339</c:v>
                </c:pt>
                <c:pt idx="38">
                  <c:v>51.02104427030165</c:v>
                </c:pt>
                <c:pt idx="39">
                  <c:v>57.29399740750623</c:v>
                </c:pt>
                <c:pt idx="40">
                  <c:v>56.53186874679723</c:v>
                </c:pt>
                <c:pt idx="41">
                  <c:v>57.31678483825353</c:v>
                </c:pt>
                <c:pt idx="42">
                  <c:v>56.77388762622384</c:v>
                </c:pt>
                <c:pt idx="43">
                  <c:v>57.32876122562224</c:v>
                </c:pt>
              </c:numCache>
            </c:numRef>
          </c:val>
        </c:ser>
        <c:dLbls>
          <c:showLegendKey val="0"/>
          <c:showVal val="0"/>
          <c:showCatName val="0"/>
          <c:showSerName val="0"/>
          <c:showPercent val="0"/>
          <c:showBubbleSize val="0"/>
        </c:dLbls>
        <c:gapWidth val="150"/>
        <c:axId val="2111309880"/>
        <c:axId val="2111312920"/>
      </c:barChart>
      <c:lineChart>
        <c:grouping val="standard"/>
        <c:varyColors val="0"/>
        <c:ser>
          <c:idx val="1"/>
          <c:order val="1"/>
          <c:tx>
            <c:v>income gain/GDP</c:v>
          </c:tx>
          <c:marker>
            <c:symbol val="none"/>
          </c:marker>
          <c:val>
            <c:numRef>
              <c:f>Income_Puzzle!$E$4:$E$47</c:f>
              <c:numCache>
                <c:formatCode>0.00_ </c:formatCode>
                <c:ptCount val="44"/>
                <c:pt idx="0">
                  <c:v>-0.102583819836186</c:v>
                </c:pt>
                <c:pt idx="1">
                  <c:v>-0.0204232789261982</c:v>
                </c:pt>
                <c:pt idx="2">
                  <c:v>0.120423215584097</c:v>
                </c:pt>
                <c:pt idx="3">
                  <c:v>0.118343169054749</c:v>
                </c:pt>
                <c:pt idx="4">
                  <c:v>-0.0981268464537369</c:v>
                </c:pt>
                <c:pt idx="5">
                  <c:v>-0.0546245342218466</c:v>
                </c:pt>
                <c:pt idx="6">
                  <c:v>-0.0363183715516413</c:v>
                </c:pt>
                <c:pt idx="7">
                  <c:v>0.016635231815153</c:v>
                </c:pt>
                <c:pt idx="8">
                  <c:v>0.0926583664414755</c:v>
                </c:pt>
                <c:pt idx="9">
                  <c:v>0.198915505811716</c:v>
                </c:pt>
                <c:pt idx="10">
                  <c:v>0.0797388026151678</c:v>
                </c:pt>
                <c:pt idx="11">
                  <c:v>-0.0644539782451054</c:v>
                </c:pt>
                <c:pt idx="12">
                  <c:v>0.156123543920754</c:v>
                </c:pt>
                <c:pt idx="13">
                  <c:v>0.256793419684629</c:v>
                </c:pt>
                <c:pt idx="14">
                  <c:v>0.331696684278855</c:v>
                </c:pt>
                <c:pt idx="15">
                  <c:v>0.501406138069879</c:v>
                </c:pt>
                <c:pt idx="16">
                  <c:v>0.468754617376492</c:v>
                </c:pt>
                <c:pt idx="17">
                  <c:v>0.680776396489597</c:v>
                </c:pt>
                <c:pt idx="18">
                  <c:v>0.707901802852618</c:v>
                </c:pt>
                <c:pt idx="19">
                  <c:v>0.788584927980004</c:v>
                </c:pt>
                <c:pt idx="20">
                  <c:v>0.758787113719875</c:v>
                </c:pt>
                <c:pt idx="21">
                  <c:v>0.766879799787741</c:v>
                </c:pt>
                <c:pt idx="22">
                  <c:v>0.954081134072736</c:v>
                </c:pt>
                <c:pt idx="23">
                  <c:v>0.951928217085563</c:v>
                </c:pt>
                <c:pt idx="24">
                  <c:v>0.845300217646196</c:v>
                </c:pt>
                <c:pt idx="25">
                  <c:v>0.841168419250363</c:v>
                </c:pt>
                <c:pt idx="26">
                  <c:v>1.135593829526729</c:v>
                </c:pt>
                <c:pt idx="27">
                  <c:v>1.344786479619677</c:v>
                </c:pt>
                <c:pt idx="28">
                  <c:v>1.393669407417786</c:v>
                </c:pt>
                <c:pt idx="29">
                  <c:v>1.301180107394843</c:v>
                </c:pt>
                <c:pt idx="30">
                  <c:v>1.275958106146785</c:v>
                </c:pt>
                <c:pt idx="31">
                  <c:v>1.662647227774006</c:v>
                </c:pt>
                <c:pt idx="32">
                  <c:v>1.65820890439089</c:v>
                </c:pt>
                <c:pt idx="33">
                  <c:v>1.662808496580568</c:v>
                </c:pt>
                <c:pt idx="34">
                  <c:v>1.843306262361648</c:v>
                </c:pt>
                <c:pt idx="35">
                  <c:v>2.269127193130424</c:v>
                </c:pt>
                <c:pt idx="36">
                  <c:v>2.726436636424459</c:v>
                </c:pt>
                <c:pt idx="37">
                  <c:v>3.211480788934826</c:v>
                </c:pt>
                <c:pt idx="38">
                  <c:v>3.217418351973916</c:v>
                </c:pt>
                <c:pt idx="39">
                  <c:v>2.712110043178367</c:v>
                </c:pt>
                <c:pt idx="40">
                  <c:v>2.574606475665465</c:v>
                </c:pt>
                <c:pt idx="41">
                  <c:v>2.984170776111334</c:v>
                </c:pt>
                <c:pt idx="42">
                  <c:v>3.000370480967512</c:v>
                </c:pt>
                <c:pt idx="43">
                  <c:v>3.136463182998559</c:v>
                </c:pt>
              </c:numCache>
            </c:numRef>
          </c:val>
          <c:smooth val="0"/>
        </c:ser>
        <c:dLbls>
          <c:showLegendKey val="0"/>
          <c:showVal val="0"/>
          <c:showCatName val="0"/>
          <c:showSerName val="0"/>
          <c:showPercent val="0"/>
          <c:showBubbleSize val="0"/>
        </c:dLbls>
        <c:marker val="1"/>
        <c:smooth val="0"/>
        <c:axId val="2111319768"/>
        <c:axId val="2111315960"/>
      </c:lineChart>
      <c:catAx>
        <c:axId val="2111309880"/>
        <c:scaling>
          <c:orientation val="minMax"/>
        </c:scaling>
        <c:delete val="0"/>
        <c:axPos val="b"/>
        <c:numFmt formatCode="General" sourceLinked="1"/>
        <c:majorTickMark val="out"/>
        <c:minorTickMark val="none"/>
        <c:tickLblPos val="nextTo"/>
        <c:crossAx val="2111312920"/>
        <c:crosses val="autoZero"/>
        <c:auto val="1"/>
        <c:lblAlgn val="ctr"/>
        <c:lblOffset val="100"/>
        <c:tickLblSkip val="5"/>
        <c:tickMarkSkip val="5"/>
        <c:noMultiLvlLbl val="0"/>
      </c:catAx>
      <c:valAx>
        <c:axId val="2111312920"/>
        <c:scaling>
          <c:orientation val="minMax"/>
        </c:scaling>
        <c:delete val="0"/>
        <c:axPos val="l"/>
        <c:numFmt formatCode="0_ " sourceLinked="0"/>
        <c:majorTickMark val="out"/>
        <c:minorTickMark val="none"/>
        <c:tickLblPos val="nextTo"/>
        <c:crossAx val="2111309880"/>
        <c:crosses val="autoZero"/>
        <c:crossBetween val="between"/>
      </c:valAx>
      <c:valAx>
        <c:axId val="2111315960"/>
        <c:scaling>
          <c:orientation val="minMax"/>
        </c:scaling>
        <c:delete val="0"/>
        <c:axPos val="r"/>
        <c:numFmt formatCode="0.0_ " sourceLinked="0"/>
        <c:majorTickMark val="out"/>
        <c:minorTickMark val="none"/>
        <c:tickLblPos val="nextTo"/>
        <c:crossAx val="2111319768"/>
        <c:crosses val="max"/>
        <c:crossBetween val="between"/>
      </c:valAx>
      <c:catAx>
        <c:axId val="2111319768"/>
        <c:scaling>
          <c:orientation val="minMax"/>
        </c:scaling>
        <c:delete val="1"/>
        <c:axPos val="b"/>
        <c:majorTickMark val="out"/>
        <c:minorTickMark val="none"/>
        <c:tickLblPos val="nextTo"/>
        <c:crossAx val="2111315960"/>
        <c:crosses val="autoZero"/>
        <c:auto val="1"/>
        <c:lblAlgn val="ctr"/>
        <c:lblOffset val="100"/>
        <c:noMultiLvlLbl val="0"/>
      </c:catAx>
    </c:plotArea>
    <c:plotVisOnly val="1"/>
    <c:dispBlanksAs val="gap"/>
    <c:showDLblsOverMax val="0"/>
  </c:chart>
  <c:txPr>
    <a:bodyPr/>
    <a:lstStyle/>
    <a:p>
      <a:pPr>
        <a:defRPr>
          <a:latin typeface="Times New Roman"/>
          <a:cs typeface="Times New Roman"/>
        </a:defRPr>
      </a:pPr>
      <a:endParaRPr lang="ja-JP"/>
    </a:p>
  </c:txPr>
  <c:printSettings>
    <c:headerFooter/>
    <c:pageMargins b="0.75" l="0.7" r="0.7" t="0.75" header="0.3" footer="0.3"/>
    <c:pageSetup orientation="portrait" horizontalDpi="-4" verticalDpi="-4"/>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cked"/>
        <c:varyColors val="0"/>
        <c:ser>
          <c:idx val="0"/>
          <c:order val="0"/>
          <c:tx>
            <c:v>FDI</c:v>
          </c:tx>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Composition_A_L!$B$2:$B$45</c:f>
              <c:numCache>
                <c:formatCode>#,##0</c:formatCode>
                <c:ptCount val="44"/>
                <c:pt idx="0">
                  <c:v>1.49</c:v>
                </c:pt>
                <c:pt idx="1">
                  <c:v>1.851</c:v>
                </c:pt>
                <c:pt idx="2">
                  <c:v>2.574</c:v>
                </c:pt>
                <c:pt idx="3">
                  <c:v>4.546</c:v>
                </c:pt>
                <c:pt idx="4">
                  <c:v>6.559</c:v>
                </c:pt>
                <c:pt idx="5">
                  <c:v>8.322</c:v>
                </c:pt>
                <c:pt idx="6">
                  <c:v>10.313</c:v>
                </c:pt>
                <c:pt idx="7">
                  <c:v>11.958</c:v>
                </c:pt>
                <c:pt idx="8">
                  <c:v>14.329</c:v>
                </c:pt>
                <c:pt idx="9">
                  <c:v>17.227</c:v>
                </c:pt>
                <c:pt idx="10">
                  <c:v>19.610001</c:v>
                </c:pt>
                <c:pt idx="11">
                  <c:v>24.51</c:v>
                </c:pt>
                <c:pt idx="12">
                  <c:v>28.969999</c:v>
                </c:pt>
                <c:pt idx="13">
                  <c:v>32.18</c:v>
                </c:pt>
                <c:pt idx="14">
                  <c:v>37.919998</c:v>
                </c:pt>
                <c:pt idx="15">
                  <c:v>43.970001</c:v>
                </c:pt>
                <c:pt idx="16">
                  <c:v>58.07</c:v>
                </c:pt>
                <c:pt idx="17">
                  <c:v>77.019997</c:v>
                </c:pt>
                <c:pt idx="18">
                  <c:v>110.78</c:v>
                </c:pt>
                <c:pt idx="19">
                  <c:v>154.37</c:v>
                </c:pt>
                <c:pt idx="20">
                  <c:v>201.44</c:v>
                </c:pt>
                <c:pt idx="21">
                  <c:v>231.78999</c:v>
                </c:pt>
                <c:pt idx="22">
                  <c:v>248.06</c:v>
                </c:pt>
                <c:pt idx="23">
                  <c:v>259.79999</c:v>
                </c:pt>
                <c:pt idx="24">
                  <c:v>275.56989</c:v>
                </c:pt>
                <c:pt idx="25">
                  <c:v>238.45181</c:v>
                </c:pt>
                <c:pt idx="26">
                  <c:v>258.6120689655173</c:v>
                </c:pt>
                <c:pt idx="27">
                  <c:v>271.9045786841093</c:v>
                </c:pt>
                <c:pt idx="28">
                  <c:v>270.0346020761246</c:v>
                </c:pt>
                <c:pt idx="29">
                  <c:v>248.7769080234834</c:v>
                </c:pt>
                <c:pt idx="30">
                  <c:v>278.4421235857267</c:v>
                </c:pt>
                <c:pt idx="31">
                  <c:v>300.113808801214</c:v>
                </c:pt>
                <c:pt idx="32">
                  <c:v>304.2368640533778</c:v>
                </c:pt>
                <c:pt idx="33">
                  <c:v>335.499533146592</c:v>
                </c:pt>
                <c:pt idx="34">
                  <c:v>370.5436035343834</c:v>
                </c:pt>
                <c:pt idx="35">
                  <c:v>386.581334237518</c:v>
                </c:pt>
                <c:pt idx="36">
                  <c:v>449.567044976881</c:v>
                </c:pt>
                <c:pt idx="37">
                  <c:v>542.6140350877193</c:v>
                </c:pt>
                <c:pt idx="38">
                  <c:v>680.3305785123966</c:v>
                </c:pt>
                <c:pt idx="39">
                  <c:v>740.9298283728003</c:v>
                </c:pt>
                <c:pt idx="40">
                  <c:v>831.074278698588</c:v>
                </c:pt>
                <c:pt idx="41">
                  <c:v>955.8543489449305</c:v>
                </c:pt>
                <c:pt idx="42">
                  <c:v>1037.700751010976</c:v>
                </c:pt>
                <c:pt idx="43">
                  <c:v>1118.005698005698</c:v>
                </c:pt>
              </c:numCache>
            </c:numRef>
          </c:val>
        </c:ser>
        <c:ser>
          <c:idx val="1"/>
          <c:order val="1"/>
          <c:tx>
            <c:v>Portfolio equity</c:v>
          </c:tx>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Composition_A_L!$C$2:$C$45</c:f>
              <c:numCache>
                <c:formatCode>#,##0</c:formatCode>
                <c:ptCount val="44"/>
                <c:pt idx="0">
                  <c:v>0.0398405210539791</c:v>
                </c:pt>
                <c:pt idx="1">
                  <c:v>0.124900100537823</c:v>
                </c:pt>
                <c:pt idx="2">
                  <c:v>0.379476358879394</c:v>
                </c:pt>
                <c:pt idx="3">
                  <c:v>0.793900055038509</c:v>
                </c:pt>
                <c:pt idx="4">
                  <c:v>0.574757270450626</c:v>
                </c:pt>
                <c:pt idx="5">
                  <c:v>0.761133349088848</c:v>
                </c:pt>
                <c:pt idx="6">
                  <c:v>0.816689843931801</c:v>
                </c:pt>
                <c:pt idx="7">
                  <c:v>0.787976028025763</c:v>
                </c:pt>
                <c:pt idx="8">
                  <c:v>0.955098531684696</c:v>
                </c:pt>
                <c:pt idx="9">
                  <c:v>1.637080716174179</c:v>
                </c:pt>
                <c:pt idx="10">
                  <c:v>1.755011545909937</c:v>
                </c:pt>
                <c:pt idx="11">
                  <c:v>1.755637973913313</c:v>
                </c:pt>
                <c:pt idx="12">
                  <c:v>2.049447825058279</c:v>
                </c:pt>
                <c:pt idx="13">
                  <c:v>3.050941043966005</c:v>
                </c:pt>
                <c:pt idx="14">
                  <c:v>3.103992039779861</c:v>
                </c:pt>
                <c:pt idx="15">
                  <c:v>5.312500850111261</c:v>
                </c:pt>
                <c:pt idx="16">
                  <c:v>13.47053841200385</c:v>
                </c:pt>
                <c:pt idx="17">
                  <c:v>27.56849519620355</c:v>
                </c:pt>
                <c:pt idx="18">
                  <c:v>33.93031518130814</c:v>
                </c:pt>
                <c:pt idx="19">
                  <c:v>61.56687086682788</c:v>
                </c:pt>
                <c:pt idx="20">
                  <c:v>62.96095499654106</c:v>
                </c:pt>
                <c:pt idx="21">
                  <c:v>79.70922274883746</c:v>
                </c:pt>
                <c:pt idx="22">
                  <c:v>76.45051770847951</c:v>
                </c:pt>
                <c:pt idx="23">
                  <c:v>108.6187314966689</c:v>
                </c:pt>
                <c:pt idx="24">
                  <c:v>119.049100340204</c:v>
                </c:pt>
                <c:pt idx="25">
                  <c:v>146.26</c:v>
                </c:pt>
                <c:pt idx="26">
                  <c:v>155.0948275862069</c:v>
                </c:pt>
                <c:pt idx="27">
                  <c:v>158.7918430165448</c:v>
                </c:pt>
                <c:pt idx="28">
                  <c:v>209.4031141868512</c:v>
                </c:pt>
                <c:pt idx="29">
                  <c:v>285.4207436399217</c:v>
                </c:pt>
                <c:pt idx="30">
                  <c:v>262.2541340295909</c:v>
                </c:pt>
                <c:pt idx="31">
                  <c:v>227.3520485584218</c:v>
                </c:pt>
                <c:pt idx="32">
                  <c:v>210.8173477898249</c:v>
                </c:pt>
                <c:pt idx="33">
                  <c:v>274.4537815126051</c:v>
                </c:pt>
                <c:pt idx="34">
                  <c:v>364.6945831732616</c:v>
                </c:pt>
                <c:pt idx="35">
                  <c:v>408.5784521488514</c:v>
                </c:pt>
                <c:pt idx="36">
                  <c:v>510.4161412358134</c:v>
                </c:pt>
                <c:pt idx="37">
                  <c:v>573.4736842105263</c:v>
                </c:pt>
                <c:pt idx="38">
                  <c:v>394.6776859504132</c:v>
                </c:pt>
                <c:pt idx="39">
                  <c:v>594.0364979361286</c:v>
                </c:pt>
                <c:pt idx="40">
                  <c:v>678.4775936157151</c:v>
                </c:pt>
                <c:pt idx="41">
                  <c:v>665.8517756047349</c:v>
                </c:pt>
                <c:pt idx="42">
                  <c:v>687.1750433275562</c:v>
                </c:pt>
                <c:pt idx="43">
                  <c:v>709.97150997151</c:v>
                </c:pt>
              </c:numCache>
            </c:numRef>
          </c:val>
        </c:ser>
        <c:ser>
          <c:idx val="2"/>
          <c:order val="2"/>
          <c:tx>
            <c:v>Portfolio debt</c:v>
          </c:tx>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Composition_A_L!$D$2:$D$45</c:f>
              <c:numCache>
                <c:formatCode>#,##0</c:formatCode>
                <c:ptCount val="44"/>
                <c:pt idx="0">
                  <c:v>0.158159478946021</c:v>
                </c:pt>
                <c:pt idx="1">
                  <c:v>0.223099899462177</c:v>
                </c:pt>
                <c:pt idx="2">
                  <c:v>1.570523641120606</c:v>
                </c:pt>
                <c:pt idx="3">
                  <c:v>3.104099944961491</c:v>
                </c:pt>
                <c:pt idx="4">
                  <c:v>3.508242729549374</c:v>
                </c:pt>
                <c:pt idx="5">
                  <c:v>3.342866650911151</c:v>
                </c:pt>
                <c:pt idx="6">
                  <c:v>3.341310156068199</c:v>
                </c:pt>
                <c:pt idx="7">
                  <c:v>4.807023971974237</c:v>
                </c:pt>
                <c:pt idx="8">
                  <c:v>11.2489014683153</c:v>
                </c:pt>
                <c:pt idx="9">
                  <c:v>17.36591928382582</c:v>
                </c:pt>
                <c:pt idx="10">
                  <c:v>19.68498845409006</c:v>
                </c:pt>
                <c:pt idx="11">
                  <c:v>29.78436202608669</c:v>
                </c:pt>
                <c:pt idx="12">
                  <c:v>38.02055217494172</c:v>
                </c:pt>
                <c:pt idx="13">
                  <c:v>53.069058956034</c:v>
                </c:pt>
                <c:pt idx="14">
                  <c:v>84.47600796022014</c:v>
                </c:pt>
                <c:pt idx="15">
                  <c:v>140.4374991498887</c:v>
                </c:pt>
                <c:pt idx="16">
                  <c:v>244.4594615879962</c:v>
                </c:pt>
                <c:pt idx="17">
                  <c:v>326.9815048037965</c:v>
                </c:pt>
                <c:pt idx="18">
                  <c:v>415.3796848186919</c:v>
                </c:pt>
                <c:pt idx="19">
                  <c:v>500.2831291331721</c:v>
                </c:pt>
                <c:pt idx="20">
                  <c:v>532.8790450034589</c:v>
                </c:pt>
                <c:pt idx="21">
                  <c:v>599.4707772511625</c:v>
                </c:pt>
                <c:pt idx="22">
                  <c:v>638.9994822915205</c:v>
                </c:pt>
                <c:pt idx="23">
                  <c:v>662.4912685033311</c:v>
                </c:pt>
                <c:pt idx="24">
                  <c:v>739.640899659796</c:v>
                </c:pt>
                <c:pt idx="25">
                  <c:v>708.8099999999999</c:v>
                </c:pt>
                <c:pt idx="26">
                  <c:v>803.2241379310345</c:v>
                </c:pt>
                <c:pt idx="27">
                  <c:v>778.4378607156599</c:v>
                </c:pt>
                <c:pt idx="28">
                  <c:v>895.4411764705883</c:v>
                </c:pt>
                <c:pt idx="29">
                  <c:v>1003.111545988258</c:v>
                </c:pt>
                <c:pt idx="30">
                  <c:v>1044.229765013055</c:v>
                </c:pt>
                <c:pt idx="31">
                  <c:v>1062.405159332322</c:v>
                </c:pt>
                <c:pt idx="32">
                  <c:v>1183.703085904921</c:v>
                </c:pt>
                <c:pt idx="33">
                  <c:v>1446.862745098039</c:v>
                </c:pt>
                <c:pt idx="34">
                  <c:v>1644.976949673454</c:v>
                </c:pt>
                <c:pt idx="35">
                  <c:v>1706.315164872425</c:v>
                </c:pt>
                <c:pt idx="36">
                  <c:v>1833.064312736444</c:v>
                </c:pt>
                <c:pt idx="37">
                  <c:v>1950.09649122807</c:v>
                </c:pt>
                <c:pt idx="38">
                  <c:v>1981.98347107438</c:v>
                </c:pt>
                <c:pt idx="39">
                  <c:v>2251.81403432544</c:v>
                </c:pt>
                <c:pt idx="40">
                  <c:v>2626.691221608349</c:v>
                </c:pt>
                <c:pt idx="41">
                  <c:v>2709.392691713845</c:v>
                </c:pt>
                <c:pt idx="42">
                  <c:v>2838.093587521664</c:v>
                </c:pt>
                <c:pt idx="43">
                  <c:v>2701.377018043685</c:v>
                </c:pt>
              </c:numCache>
            </c:numRef>
          </c:val>
        </c:ser>
        <c:ser>
          <c:idx val="3"/>
          <c:order val="3"/>
          <c:tx>
            <c:v>Other investment</c:v>
          </c:tx>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Composition_A_L!$E$2:$E$45</c:f>
              <c:numCache>
                <c:formatCode>#,##0</c:formatCode>
                <c:ptCount val="44"/>
                <c:pt idx="0">
                  <c:v>23.40473504374456</c:v>
                </c:pt>
                <c:pt idx="1">
                  <c:v>23.942288553856</c:v>
                </c:pt>
                <c:pt idx="2">
                  <c:v>30.6162582996566</c:v>
                </c:pt>
                <c:pt idx="3">
                  <c:v>30.64446810485196</c:v>
                </c:pt>
                <c:pt idx="4">
                  <c:v>14.99037703853065</c:v>
                </c:pt>
                <c:pt idx="5">
                  <c:v>35.7386887597128</c:v>
                </c:pt>
                <c:pt idx="6">
                  <c:v>41.93779345139163</c:v>
                </c:pt>
                <c:pt idx="7">
                  <c:v>48.98240869323119</c:v>
                </c:pt>
                <c:pt idx="8">
                  <c:v>72.24374389389938</c:v>
                </c:pt>
                <c:pt idx="9">
                  <c:v>77.68275105670342</c:v>
                </c:pt>
                <c:pt idx="10">
                  <c:v>92.88</c:v>
                </c:pt>
                <c:pt idx="11">
                  <c:v>124.86</c:v>
                </c:pt>
                <c:pt idx="12">
                  <c:v>135.29</c:v>
                </c:pt>
                <c:pt idx="13">
                  <c:v>158.1</c:v>
                </c:pt>
                <c:pt idx="14">
                  <c:v>188.45</c:v>
                </c:pt>
                <c:pt idx="15">
                  <c:v>220.33</c:v>
                </c:pt>
                <c:pt idx="16">
                  <c:v>368.02</c:v>
                </c:pt>
                <c:pt idx="17">
                  <c:v>557.88</c:v>
                </c:pt>
                <c:pt idx="18">
                  <c:v>811.39</c:v>
                </c:pt>
                <c:pt idx="19">
                  <c:v>969.72</c:v>
                </c:pt>
                <c:pt idx="20">
                  <c:v>980.89</c:v>
                </c:pt>
                <c:pt idx="21">
                  <c:v>1022.27</c:v>
                </c:pt>
                <c:pt idx="22">
                  <c:v>998.9400000000001</c:v>
                </c:pt>
                <c:pt idx="23">
                  <c:v>1050.29</c:v>
                </c:pt>
                <c:pt idx="24">
                  <c:v>1162.87</c:v>
                </c:pt>
                <c:pt idx="25">
                  <c:v>1351.31</c:v>
                </c:pt>
                <c:pt idx="26">
                  <c:v>1167.0</c:v>
                </c:pt>
                <c:pt idx="27">
                  <c:v>1232.250865717584</c:v>
                </c:pt>
                <c:pt idx="28">
                  <c:v>1318.25259515571</c:v>
                </c:pt>
                <c:pt idx="29">
                  <c:v>1141.369863013699</c:v>
                </c:pt>
                <c:pt idx="30">
                  <c:v>1020.35683202785</c:v>
                </c:pt>
                <c:pt idx="31">
                  <c:v>888.2321699544764</c:v>
                </c:pt>
                <c:pt idx="32">
                  <c:v>882.3352793994995</c:v>
                </c:pt>
                <c:pt idx="33">
                  <c:v>865.0326797385621</c:v>
                </c:pt>
                <c:pt idx="34">
                  <c:v>938.513253937764</c:v>
                </c:pt>
                <c:pt idx="35">
                  <c:v>920.0983300839197</c:v>
                </c:pt>
                <c:pt idx="36">
                  <c:v>981.067675493905</c:v>
                </c:pt>
                <c:pt idx="37">
                  <c:v>1282.69298245614</c:v>
                </c:pt>
                <c:pt idx="38">
                  <c:v>1562.005509641873</c:v>
                </c:pt>
                <c:pt idx="39">
                  <c:v>1342.591787964371</c:v>
                </c:pt>
                <c:pt idx="40">
                  <c:v>1592.387968078576</c:v>
                </c:pt>
                <c:pt idx="41">
                  <c:v>1803.80854348945</c:v>
                </c:pt>
                <c:pt idx="42">
                  <c:v>1766.504910456384</c:v>
                </c:pt>
                <c:pt idx="43">
                  <c:v>1694.188034188034</c:v>
                </c:pt>
              </c:numCache>
            </c:numRef>
          </c:val>
        </c:ser>
        <c:ser>
          <c:idx val="4"/>
          <c:order val="4"/>
          <c:tx>
            <c:v>FX reserves</c:v>
          </c:tx>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Composition_A_L!$F$2:$F$45</c:f>
              <c:numCache>
                <c:formatCode>#,##0</c:formatCode>
                <c:ptCount val="44"/>
                <c:pt idx="0">
                  <c:v>4.83952999985176</c:v>
                </c:pt>
                <c:pt idx="1">
                  <c:v>15.3601824448172</c:v>
                </c:pt>
                <c:pt idx="2">
                  <c:v>18.3659501561755</c:v>
                </c:pt>
                <c:pt idx="3">
                  <c:v>12.246050288569</c:v>
                </c:pt>
                <c:pt idx="4">
                  <c:v>13.5188853294237</c:v>
                </c:pt>
                <c:pt idx="5">
                  <c:v>12.8151429970065</c:v>
                </c:pt>
                <c:pt idx="6">
                  <c:v>16.6046571181792</c:v>
                </c:pt>
                <c:pt idx="7">
                  <c:v>23.2602671428848</c:v>
                </c:pt>
                <c:pt idx="8">
                  <c:v>33.500273178559</c:v>
                </c:pt>
                <c:pt idx="9">
                  <c:v>20.6385871880562</c:v>
                </c:pt>
                <c:pt idx="10">
                  <c:v>25.7179752732842</c:v>
                </c:pt>
                <c:pt idx="11">
                  <c:v>29.1954314290852</c:v>
                </c:pt>
                <c:pt idx="12">
                  <c:v>24.2693822609026</c:v>
                </c:pt>
                <c:pt idx="13">
                  <c:v>25.4893668226342</c:v>
                </c:pt>
                <c:pt idx="14">
                  <c:v>27.2603498846051</c:v>
                </c:pt>
                <c:pt idx="15">
                  <c:v>27.650090117727</c:v>
                </c:pt>
                <c:pt idx="16">
                  <c:v>43.2938422306976</c:v>
                </c:pt>
                <c:pt idx="17">
                  <c:v>82.1758704565629</c:v>
                </c:pt>
                <c:pt idx="18">
                  <c:v>97.8693135514588</c:v>
                </c:pt>
                <c:pt idx="19">
                  <c:v>85.07173125568251</c:v>
                </c:pt>
                <c:pt idx="20">
                  <c:v>79.7069766400713</c:v>
                </c:pt>
                <c:pt idx="21">
                  <c:v>73.2718161934427</c:v>
                </c:pt>
                <c:pt idx="22">
                  <c:v>72.7886415747424</c:v>
                </c:pt>
                <c:pt idx="23">
                  <c:v>99.6890926498714</c:v>
                </c:pt>
                <c:pt idx="24">
                  <c:v>127.098134619255</c:v>
                </c:pt>
                <c:pt idx="25">
                  <c:v>184.510290737134</c:v>
                </c:pt>
                <c:pt idx="26">
                  <c:v>217.6034482758621</c:v>
                </c:pt>
                <c:pt idx="27">
                  <c:v>220.8003078106964</c:v>
                </c:pt>
                <c:pt idx="28">
                  <c:v>215.0692041522491</c:v>
                </c:pt>
                <c:pt idx="29">
                  <c:v>287.6516634050881</c:v>
                </c:pt>
                <c:pt idx="30">
                  <c:v>360.9921671018276</c:v>
                </c:pt>
                <c:pt idx="31">
                  <c:v>400.3945371775417</c:v>
                </c:pt>
                <c:pt idx="32">
                  <c:v>467.581317764804</c:v>
                </c:pt>
                <c:pt idx="33">
                  <c:v>673.0438842203548</c:v>
                </c:pt>
                <c:pt idx="34">
                  <c:v>842.4894352669996</c:v>
                </c:pt>
                <c:pt idx="35">
                  <c:v>842.9600745952361</c:v>
                </c:pt>
                <c:pt idx="36">
                  <c:v>894.7877259352668</c:v>
                </c:pt>
                <c:pt idx="37">
                  <c:v>967.359649122807</c:v>
                </c:pt>
                <c:pt idx="38">
                  <c:v>1024.606060606061</c:v>
                </c:pt>
                <c:pt idx="39">
                  <c:v>1051.238322832935</c:v>
                </c:pt>
                <c:pt idx="40">
                  <c:v>1096.746470227133</c:v>
                </c:pt>
                <c:pt idx="41">
                  <c:v>1293.322182192486</c:v>
                </c:pt>
                <c:pt idx="42">
                  <c:v>1264.74870017331</c:v>
                </c:pt>
                <c:pt idx="43">
                  <c:v>1268.081671415005</c:v>
                </c:pt>
              </c:numCache>
            </c:numRef>
          </c:val>
        </c:ser>
        <c:dLbls>
          <c:showLegendKey val="0"/>
          <c:showVal val="0"/>
          <c:showCatName val="0"/>
          <c:showSerName val="0"/>
          <c:showPercent val="0"/>
          <c:showBubbleSize val="0"/>
        </c:dLbls>
        <c:axId val="2111372824"/>
        <c:axId val="2111375848"/>
      </c:areaChart>
      <c:catAx>
        <c:axId val="2111372824"/>
        <c:scaling>
          <c:orientation val="minMax"/>
        </c:scaling>
        <c:delete val="0"/>
        <c:axPos val="b"/>
        <c:numFmt formatCode="General" sourceLinked="1"/>
        <c:majorTickMark val="out"/>
        <c:minorTickMark val="none"/>
        <c:tickLblPos val="nextTo"/>
        <c:crossAx val="2111375848"/>
        <c:crosses val="autoZero"/>
        <c:auto val="1"/>
        <c:lblAlgn val="ctr"/>
        <c:lblOffset val="100"/>
        <c:tickLblSkip val="5"/>
        <c:tickMarkSkip val="5"/>
        <c:noMultiLvlLbl val="0"/>
      </c:catAx>
      <c:valAx>
        <c:axId val="2111375848"/>
        <c:scaling>
          <c:orientation val="minMax"/>
        </c:scaling>
        <c:delete val="0"/>
        <c:axPos val="l"/>
        <c:numFmt formatCode="#,##0" sourceLinked="1"/>
        <c:majorTickMark val="out"/>
        <c:minorTickMark val="none"/>
        <c:tickLblPos val="nextTo"/>
        <c:crossAx val="2111372824"/>
        <c:crosses val="autoZero"/>
        <c:crossBetween val="midCat"/>
      </c:valAx>
    </c:plotArea>
    <c:legend>
      <c:legendPos val="r"/>
      <c:layout/>
      <c:overlay val="0"/>
    </c:legend>
    <c:plotVisOnly val="1"/>
    <c:dispBlanksAs val="zero"/>
    <c:showDLblsOverMax val="0"/>
  </c:chart>
  <c:txPr>
    <a:bodyPr/>
    <a:lstStyle/>
    <a:p>
      <a:pPr>
        <a:defRPr>
          <a:latin typeface="Times New Roman"/>
          <a:cs typeface="Times New Roman"/>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cked"/>
        <c:varyColors val="0"/>
        <c:ser>
          <c:idx val="0"/>
          <c:order val="0"/>
          <c:tx>
            <c:v>FDI</c:v>
          </c:tx>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Composition_A_L!$G$2:$G$45</c:f>
              <c:numCache>
                <c:formatCode>#,##0</c:formatCode>
                <c:ptCount val="44"/>
                <c:pt idx="0">
                  <c:v>1.126</c:v>
                </c:pt>
                <c:pt idx="1">
                  <c:v>1.337</c:v>
                </c:pt>
                <c:pt idx="2">
                  <c:v>1.645</c:v>
                </c:pt>
                <c:pt idx="3">
                  <c:v>1.602</c:v>
                </c:pt>
                <c:pt idx="4">
                  <c:v>1.867</c:v>
                </c:pt>
                <c:pt idx="5">
                  <c:v>2.084</c:v>
                </c:pt>
                <c:pt idx="6">
                  <c:v>2.208</c:v>
                </c:pt>
                <c:pt idx="7">
                  <c:v>2.229</c:v>
                </c:pt>
                <c:pt idx="8">
                  <c:v>2.841</c:v>
                </c:pt>
                <c:pt idx="9">
                  <c:v>3.422</c:v>
                </c:pt>
                <c:pt idx="10">
                  <c:v>3.27</c:v>
                </c:pt>
                <c:pt idx="11">
                  <c:v>3.9200001</c:v>
                </c:pt>
                <c:pt idx="12">
                  <c:v>4.0</c:v>
                </c:pt>
                <c:pt idx="13">
                  <c:v>4.3600001</c:v>
                </c:pt>
                <c:pt idx="14">
                  <c:v>4.46</c:v>
                </c:pt>
                <c:pt idx="15">
                  <c:v>4.7399998</c:v>
                </c:pt>
                <c:pt idx="16">
                  <c:v>6.5100002</c:v>
                </c:pt>
                <c:pt idx="17">
                  <c:v>9.0200005</c:v>
                </c:pt>
                <c:pt idx="18">
                  <c:v>10.42</c:v>
                </c:pt>
                <c:pt idx="19">
                  <c:v>9.1599998</c:v>
                </c:pt>
                <c:pt idx="20">
                  <c:v>9.8500004</c:v>
                </c:pt>
                <c:pt idx="21">
                  <c:v>12.29</c:v>
                </c:pt>
                <c:pt idx="22">
                  <c:v>15.51</c:v>
                </c:pt>
                <c:pt idx="23">
                  <c:v>16.889999</c:v>
                </c:pt>
                <c:pt idx="24">
                  <c:v>19.17</c:v>
                </c:pt>
                <c:pt idx="25">
                  <c:v>33.509998</c:v>
                </c:pt>
                <c:pt idx="26">
                  <c:v>29.93965517241379</c:v>
                </c:pt>
                <c:pt idx="27">
                  <c:v>27.07964601769912</c:v>
                </c:pt>
                <c:pt idx="28">
                  <c:v>26.06401384083045</c:v>
                </c:pt>
                <c:pt idx="29">
                  <c:v>46.11545988258317</c:v>
                </c:pt>
                <c:pt idx="30">
                  <c:v>50.32201914708442</c:v>
                </c:pt>
                <c:pt idx="31">
                  <c:v>50.31866464339909</c:v>
                </c:pt>
                <c:pt idx="32">
                  <c:v>78.14011676396997</c:v>
                </c:pt>
                <c:pt idx="33">
                  <c:v>89.72922502334267</c:v>
                </c:pt>
                <c:pt idx="34">
                  <c:v>96.98424894352669</c:v>
                </c:pt>
                <c:pt idx="35">
                  <c:v>100.8985335254726</c:v>
                </c:pt>
                <c:pt idx="36">
                  <c:v>107.6334594367381</c:v>
                </c:pt>
                <c:pt idx="37">
                  <c:v>132.8508771929825</c:v>
                </c:pt>
                <c:pt idx="38">
                  <c:v>203.3719008264463</c:v>
                </c:pt>
                <c:pt idx="39">
                  <c:v>200.1412122528785</c:v>
                </c:pt>
                <c:pt idx="40">
                  <c:v>214.8802946593002</c:v>
                </c:pt>
                <c:pt idx="41">
                  <c:v>225.78486875965</c:v>
                </c:pt>
                <c:pt idx="42">
                  <c:v>205.7538994800693</c:v>
                </c:pt>
                <c:pt idx="43">
                  <c:v>170.7122507122507</c:v>
                </c:pt>
              </c:numCache>
            </c:numRef>
          </c:val>
        </c:ser>
        <c:ser>
          <c:idx val="1"/>
          <c:order val="1"/>
          <c:tx>
            <c:v>Portfolio equity</c:v>
          </c:tx>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Composition_A_L!$H$2:$H$45</c:f>
              <c:numCache>
                <c:formatCode>#,##0</c:formatCode>
                <c:ptCount val="44"/>
                <c:pt idx="0">
                  <c:v>1.361728480349128</c:v>
                </c:pt>
                <c:pt idx="1">
                  <c:v>2.58083704844097</c:v>
                </c:pt>
                <c:pt idx="2">
                  <c:v>6.356500476602013</c:v>
                </c:pt>
                <c:pt idx="3">
                  <c:v>4.526000434988121</c:v>
                </c:pt>
                <c:pt idx="4">
                  <c:v>2.76535514832491</c:v>
                </c:pt>
                <c:pt idx="5">
                  <c:v>3.837056485420458</c:v>
                </c:pt>
                <c:pt idx="6">
                  <c:v>4.592219621351409</c:v>
                </c:pt>
                <c:pt idx="7">
                  <c:v>4.355915822475013</c:v>
                </c:pt>
                <c:pt idx="8">
                  <c:v>5.596670967186175</c:v>
                </c:pt>
                <c:pt idx="9">
                  <c:v>5.144655239157744</c:v>
                </c:pt>
                <c:pt idx="10">
                  <c:v>14.18</c:v>
                </c:pt>
                <c:pt idx="11">
                  <c:v>27.77</c:v>
                </c:pt>
                <c:pt idx="12">
                  <c:v>29.809999</c:v>
                </c:pt>
                <c:pt idx="13">
                  <c:v>47.419998</c:v>
                </c:pt>
                <c:pt idx="14">
                  <c:v>48.029999</c:v>
                </c:pt>
                <c:pt idx="15">
                  <c:v>45.950001</c:v>
                </c:pt>
                <c:pt idx="16">
                  <c:v>78.69000200000001</c:v>
                </c:pt>
                <c:pt idx="17">
                  <c:v>66.300003</c:v>
                </c:pt>
                <c:pt idx="18">
                  <c:v>113.52</c:v>
                </c:pt>
                <c:pt idx="19">
                  <c:v>162.08</c:v>
                </c:pt>
                <c:pt idx="20">
                  <c:v>90.379997</c:v>
                </c:pt>
                <c:pt idx="21">
                  <c:v>141.78</c:v>
                </c:pt>
                <c:pt idx="22">
                  <c:v>124.59</c:v>
                </c:pt>
                <c:pt idx="23">
                  <c:v>171.17</c:v>
                </c:pt>
                <c:pt idx="24">
                  <c:v>250.88</c:v>
                </c:pt>
                <c:pt idx="25">
                  <c:v>306.28</c:v>
                </c:pt>
                <c:pt idx="26">
                  <c:v>312.551724137931</c:v>
                </c:pt>
                <c:pt idx="27">
                  <c:v>277.3066564063101</c:v>
                </c:pt>
                <c:pt idx="28">
                  <c:v>302.0155709342561</c:v>
                </c:pt>
                <c:pt idx="29">
                  <c:v>825.9686888454012</c:v>
                </c:pt>
                <c:pt idx="30">
                  <c:v>550.2349869451696</c:v>
                </c:pt>
                <c:pt idx="31">
                  <c:v>376.0470409711684</c:v>
                </c:pt>
                <c:pt idx="32">
                  <c:v>339.9249374478732</c:v>
                </c:pt>
                <c:pt idx="33">
                  <c:v>561.0177404295051</c:v>
                </c:pt>
                <c:pt idx="34">
                  <c:v>743.3058009988474</c:v>
                </c:pt>
                <c:pt idx="35">
                  <c:v>1126.065948970077</c:v>
                </c:pt>
                <c:pt idx="36">
                  <c:v>1254.955863808323</c:v>
                </c:pt>
                <c:pt idx="37">
                  <c:v>1245.885964912281</c:v>
                </c:pt>
                <c:pt idx="38">
                  <c:v>756.198347107438</c:v>
                </c:pt>
                <c:pt idx="39">
                  <c:v>829.589398218553</c:v>
                </c:pt>
                <c:pt idx="40">
                  <c:v>988.7906691221608</c:v>
                </c:pt>
                <c:pt idx="41">
                  <c:v>847.1564590838909</c:v>
                </c:pt>
                <c:pt idx="42">
                  <c:v>965.4072790294628</c:v>
                </c:pt>
                <c:pt idx="43">
                  <c:v>1433.49477682811</c:v>
                </c:pt>
              </c:numCache>
            </c:numRef>
          </c:val>
        </c:ser>
        <c:ser>
          <c:idx val="2"/>
          <c:order val="2"/>
          <c:tx>
            <c:v>Portfolio debt</c:v>
          </c:tx>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Composition_A_L!$I$2:$I$45</c:f>
              <c:numCache>
                <c:formatCode>#,##0</c:formatCode>
                <c:ptCount val="44"/>
                <c:pt idx="10">
                  <c:v>28.37</c:v>
                </c:pt>
                <c:pt idx="11">
                  <c:v>40.5</c:v>
                </c:pt>
                <c:pt idx="12">
                  <c:v>44.1</c:v>
                </c:pt>
                <c:pt idx="13">
                  <c:v>50.06</c:v>
                </c:pt>
                <c:pt idx="14">
                  <c:v>59.64</c:v>
                </c:pt>
                <c:pt idx="15">
                  <c:v>71.86</c:v>
                </c:pt>
                <c:pt idx="16">
                  <c:v>107.35</c:v>
                </c:pt>
                <c:pt idx="17">
                  <c:v>163.16</c:v>
                </c:pt>
                <c:pt idx="18">
                  <c:v>204.21</c:v>
                </c:pt>
                <c:pt idx="19">
                  <c:v>269.8</c:v>
                </c:pt>
                <c:pt idx="20">
                  <c:v>305.59</c:v>
                </c:pt>
                <c:pt idx="21">
                  <c:v>385.91</c:v>
                </c:pt>
                <c:pt idx="22">
                  <c:v>388.51</c:v>
                </c:pt>
                <c:pt idx="23">
                  <c:v>374.15</c:v>
                </c:pt>
                <c:pt idx="24">
                  <c:v>379.79</c:v>
                </c:pt>
                <c:pt idx="25">
                  <c:v>239.14</c:v>
                </c:pt>
                <c:pt idx="26">
                  <c:v>257.0775862068966</c:v>
                </c:pt>
                <c:pt idx="27">
                  <c:v>315.0596383224317</c:v>
                </c:pt>
                <c:pt idx="28">
                  <c:v>358.3131487889274</c:v>
                </c:pt>
                <c:pt idx="29">
                  <c:v>332.4657534246575</c:v>
                </c:pt>
                <c:pt idx="30">
                  <c:v>334.0905134899913</c:v>
                </c:pt>
                <c:pt idx="31">
                  <c:v>289.7496206373292</c:v>
                </c:pt>
                <c:pt idx="32">
                  <c:v>270.4920767306088</c:v>
                </c:pt>
                <c:pt idx="33">
                  <c:v>306.1437908496732</c:v>
                </c:pt>
                <c:pt idx="34">
                  <c:v>410.0941221667307</c:v>
                </c:pt>
                <c:pt idx="35">
                  <c:v>416.3516148173264</c:v>
                </c:pt>
                <c:pt idx="36">
                  <c:v>507.9361076082387</c:v>
                </c:pt>
                <c:pt idx="37">
                  <c:v>696.982456140351</c:v>
                </c:pt>
                <c:pt idx="38">
                  <c:v>785.4765840220385</c:v>
                </c:pt>
                <c:pt idx="39">
                  <c:v>707.4082120356289</c:v>
                </c:pt>
                <c:pt idx="40">
                  <c:v>878.0110497237569</c:v>
                </c:pt>
                <c:pt idx="41">
                  <c:v>1179.091610910962</c:v>
                </c:pt>
                <c:pt idx="42">
                  <c:v>1120.138648180243</c:v>
                </c:pt>
                <c:pt idx="43">
                  <c:v>958.3475783475784</c:v>
                </c:pt>
              </c:numCache>
            </c:numRef>
          </c:val>
        </c:ser>
        <c:ser>
          <c:idx val="3"/>
          <c:order val="3"/>
          <c:tx>
            <c:v>Other investment</c:v>
          </c:tx>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Composition_A_L!$J$2:$J$45</c:f>
              <c:numCache>
                <c:formatCode>#,##0</c:formatCode>
                <c:ptCount val="44"/>
                <c:pt idx="10">
                  <c:v>101.31</c:v>
                </c:pt>
                <c:pt idx="11">
                  <c:v>125.11</c:v>
                </c:pt>
                <c:pt idx="12">
                  <c:v>124.12</c:v>
                </c:pt>
                <c:pt idx="13">
                  <c:v>131.92</c:v>
                </c:pt>
                <c:pt idx="14">
                  <c:v>153.86</c:v>
                </c:pt>
                <c:pt idx="15">
                  <c:v>184.35</c:v>
                </c:pt>
                <c:pt idx="16">
                  <c:v>353.32</c:v>
                </c:pt>
                <c:pt idx="17">
                  <c:v>591.15</c:v>
                </c:pt>
                <c:pt idx="18">
                  <c:v>848.26</c:v>
                </c:pt>
                <c:pt idx="19">
                  <c:v>1035.58</c:v>
                </c:pt>
                <c:pt idx="20">
                  <c:v>1122.7</c:v>
                </c:pt>
                <c:pt idx="21">
                  <c:v>1082.19</c:v>
                </c:pt>
                <c:pt idx="22">
                  <c:v>991.78</c:v>
                </c:pt>
                <c:pt idx="23">
                  <c:v>1006.63</c:v>
                </c:pt>
                <c:pt idx="24">
                  <c:v>1084.08</c:v>
                </c:pt>
                <c:pt idx="25">
                  <c:v>1233.48</c:v>
                </c:pt>
                <c:pt idx="26">
                  <c:v>1112.181034482759</c:v>
                </c:pt>
                <c:pt idx="27">
                  <c:v>1084.324740284725</c:v>
                </c:pt>
                <c:pt idx="28">
                  <c:v>1069.480968858132</c:v>
                </c:pt>
                <c:pt idx="29">
                  <c:v>934.0215264187867</c:v>
                </c:pt>
                <c:pt idx="30">
                  <c:v>873.8207136640557</c:v>
                </c:pt>
                <c:pt idx="31">
                  <c:v>801.7678300455234</c:v>
                </c:pt>
                <c:pt idx="32">
                  <c:v>897.648040033361</c:v>
                </c:pt>
                <c:pt idx="33">
                  <c:v>1022.50233426704</c:v>
                </c:pt>
                <c:pt idx="34">
                  <c:v>1121.359969266231</c:v>
                </c:pt>
                <c:pt idx="35">
                  <c:v>1082.554886835636</c:v>
                </c:pt>
                <c:pt idx="36">
                  <c:v>983.0853299705757</c:v>
                </c:pt>
                <c:pt idx="37">
                  <c:v>1041.0</c:v>
                </c:pt>
                <c:pt idx="38">
                  <c:v>1401.057851239669</c:v>
                </c:pt>
                <c:pt idx="39">
                  <c:v>1319.194003910493</c:v>
                </c:pt>
                <c:pt idx="40">
                  <c:v>1589.785144260282</c:v>
                </c:pt>
                <c:pt idx="41">
                  <c:v>1742.318579516212</c:v>
                </c:pt>
                <c:pt idx="42">
                  <c:v>1871.172732524552</c:v>
                </c:pt>
                <c:pt idx="43">
                  <c:v>1838.328584995252</c:v>
                </c:pt>
              </c:numCache>
            </c:numRef>
          </c:val>
        </c:ser>
        <c:ser>
          <c:idx val="4"/>
          <c:order val="4"/>
          <c:tx>
            <c:v>Debt liabilities</c:v>
          </c:tx>
          <c:spPr>
            <a:solidFill>
              <a:srgbClr val="FFFF00"/>
            </a:solidFill>
            <a:ln w="25400">
              <a:noFill/>
            </a:ln>
          </c:spPr>
          <c:cat>
            <c:numRef>
              <c:f>Composition_A_L!$A$2:$A$45</c:f>
              <c:numCache>
                <c:formatCode>General</c:formatCode>
                <c:ptCount val="44"/>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numCache>
            </c:numRef>
          </c:cat>
          <c:val>
            <c:numRef>
              <c:f>Composition_A_L!$K$2:$K$11</c:f>
              <c:numCache>
                <c:formatCode>#,##0</c:formatCode>
                <c:ptCount val="10"/>
                <c:pt idx="0">
                  <c:v>14.76497848837885</c:v>
                </c:pt>
                <c:pt idx="1">
                  <c:v>18.92846099082801</c:v>
                </c:pt>
                <c:pt idx="2">
                  <c:v>21.57410991297015</c:v>
                </c:pt>
                <c:pt idx="3">
                  <c:v>28.20775294488912</c:v>
                </c:pt>
                <c:pt idx="4">
                  <c:v>42.06948531628247</c:v>
                </c:pt>
                <c:pt idx="5">
                  <c:v>45.07654350034208</c:v>
                </c:pt>
                <c:pt idx="6">
                  <c:v>51.25374743103271</c:v>
                </c:pt>
                <c:pt idx="7">
                  <c:v>51.13389779274587</c:v>
                </c:pt>
                <c:pt idx="8">
                  <c:v>73.55377889809256</c:v>
                </c:pt>
                <c:pt idx="9">
                  <c:v>97.33382330688553</c:v>
                </c:pt>
              </c:numCache>
            </c:numRef>
          </c:val>
        </c:ser>
        <c:dLbls>
          <c:showLegendKey val="0"/>
          <c:showVal val="0"/>
          <c:showCatName val="0"/>
          <c:showSerName val="0"/>
          <c:showPercent val="0"/>
          <c:showBubbleSize val="0"/>
        </c:dLbls>
        <c:axId val="2111334248"/>
        <c:axId val="2111348760"/>
      </c:areaChart>
      <c:catAx>
        <c:axId val="2111334248"/>
        <c:scaling>
          <c:orientation val="minMax"/>
        </c:scaling>
        <c:delete val="0"/>
        <c:axPos val="b"/>
        <c:numFmt formatCode="General" sourceLinked="1"/>
        <c:majorTickMark val="out"/>
        <c:minorTickMark val="none"/>
        <c:tickLblPos val="nextTo"/>
        <c:crossAx val="2111348760"/>
        <c:crosses val="autoZero"/>
        <c:auto val="1"/>
        <c:lblAlgn val="ctr"/>
        <c:lblOffset val="100"/>
        <c:tickLblSkip val="5"/>
        <c:tickMarkSkip val="5"/>
        <c:noMultiLvlLbl val="0"/>
      </c:catAx>
      <c:valAx>
        <c:axId val="2111348760"/>
        <c:scaling>
          <c:orientation val="minMax"/>
        </c:scaling>
        <c:delete val="0"/>
        <c:axPos val="l"/>
        <c:numFmt formatCode="#,##0" sourceLinked="1"/>
        <c:majorTickMark val="out"/>
        <c:minorTickMark val="none"/>
        <c:tickLblPos val="nextTo"/>
        <c:crossAx val="2111334248"/>
        <c:crosses val="autoZero"/>
        <c:crossBetween val="midCat"/>
      </c:valAx>
    </c:plotArea>
    <c:legend>
      <c:legendPos val="r"/>
      <c:layout/>
      <c:overlay val="0"/>
    </c:legend>
    <c:plotVisOnly val="1"/>
    <c:dispBlanksAs val="zero"/>
    <c:showDLblsOverMax val="0"/>
  </c:chart>
  <c:txPr>
    <a:bodyPr/>
    <a:lstStyle/>
    <a:p>
      <a:pPr>
        <a:defRPr>
          <a:latin typeface="Times New Roman"/>
          <a:cs typeface="Times New Roman"/>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934146981627296"/>
          <c:y val="0.0925925925925926"/>
          <c:w val="0.678752271350697"/>
          <c:h val="0.87962962962963"/>
        </c:manualLayout>
      </c:layout>
      <c:barChart>
        <c:barDir val="col"/>
        <c:grouping val="percentStacked"/>
        <c:varyColors val="0"/>
        <c:ser>
          <c:idx val="1"/>
          <c:order val="1"/>
          <c:tx>
            <c:v>share of long-term portfolio debt liabilities</c:v>
          </c:tx>
          <c:invertIfNegative val="0"/>
          <c:cat>
            <c:numRef>
              <c:f>Debt_Composition!$A$2:$A$19</c:f>
              <c:numCache>
                <c:formatCode>General</c:formatCode>
                <c:ptCount val="18"/>
                <c:pt idx="0">
                  <c:v>1996.0</c:v>
                </c:pt>
                <c:pt idx="1">
                  <c:v>1997.0</c:v>
                </c:pt>
                <c:pt idx="2">
                  <c:v>1998.0</c:v>
                </c:pt>
                <c:pt idx="3">
                  <c:v>1999.0</c:v>
                </c:pt>
                <c:pt idx="4">
                  <c:v>2000.0</c:v>
                </c:pt>
                <c:pt idx="5">
                  <c:v>2001.0</c:v>
                </c:pt>
                <c:pt idx="6">
                  <c:v>2002.0</c:v>
                </c:pt>
                <c:pt idx="7">
                  <c:v>2003.0</c:v>
                </c:pt>
                <c:pt idx="8">
                  <c:v>2004.0</c:v>
                </c:pt>
                <c:pt idx="9">
                  <c:v>2005.0</c:v>
                </c:pt>
                <c:pt idx="10">
                  <c:v>2006.0</c:v>
                </c:pt>
                <c:pt idx="11">
                  <c:v>2007.0</c:v>
                </c:pt>
                <c:pt idx="12">
                  <c:v>2008.0</c:v>
                </c:pt>
                <c:pt idx="13">
                  <c:v>2009.0</c:v>
                </c:pt>
                <c:pt idx="14">
                  <c:v>2010.0</c:v>
                </c:pt>
                <c:pt idx="15">
                  <c:v>2011.0</c:v>
                </c:pt>
                <c:pt idx="16">
                  <c:v>2012.0</c:v>
                </c:pt>
                <c:pt idx="17">
                  <c:v>2013.0</c:v>
                </c:pt>
              </c:numCache>
            </c:numRef>
          </c:cat>
          <c:val>
            <c:numRef>
              <c:f>Debt_Composition!$C$2:$C$19</c:f>
              <c:numCache>
                <c:formatCode>General</c:formatCode>
                <c:ptCount val="18"/>
                <c:pt idx="0">
                  <c:v>24017.0</c:v>
                </c:pt>
                <c:pt idx="1">
                  <c:v>33395.0</c:v>
                </c:pt>
                <c:pt idx="2">
                  <c:v>31251.0</c:v>
                </c:pt>
                <c:pt idx="3">
                  <c:v>27717.0</c:v>
                </c:pt>
                <c:pt idx="4">
                  <c:v>32981.0</c:v>
                </c:pt>
                <c:pt idx="5">
                  <c:v>33546.0</c:v>
                </c:pt>
                <c:pt idx="6">
                  <c:v>27799.0</c:v>
                </c:pt>
                <c:pt idx="7">
                  <c:v>27108.0</c:v>
                </c:pt>
                <c:pt idx="8">
                  <c:v>33846.0</c:v>
                </c:pt>
                <c:pt idx="9">
                  <c:v>41428.0</c:v>
                </c:pt>
                <c:pt idx="10">
                  <c:v>49579.0</c:v>
                </c:pt>
                <c:pt idx="11">
                  <c:v>60203.0</c:v>
                </c:pt>
                <c:pt idx="12">
                  <c:v>50650.0</c:v>
                </c:pt>
                <c:pt idx="13">
                  <c:v>42236.0</c:v>
                </c:pt>
                <c:pt idx="14">
                  <c:v>42877.0</c:v>
                </c:pt>
                <c:pt idx="15">
                  <c:v>45730.0</c:v>
                </c:pt>
                <c:pt idx="16">
                  <c:v>49504.0</c:v>
                </c:pt>
                <c:pt idx="17">
                  <c:v>51543.0</c:v>
                </c:pt>
              </c:numCache>
            </c:numRef>
          </c:val>
        </c:ser>
        <c:ser>
          <c:idx val="2"/>
          <c:order val="2"/>
          <c:tx>
            <c:v>share of short-term portfolio debt liabilities</c:v>
          </c:tx>
          <c:invertIfNegative val="0"/>
          <c:cat>
            <c:numRef>
              <c:f>Debt_Composition!$A$2:$A$19</c:f>
              <c:numCache>
                <c:formatCode>General</c:formatCode>
                <c:ptCount val="18"/>
                <c:pt idx="0">
                  <c:v>1996.0</c:v>
                </c:pt>
                <c:pt idx="1">
                  <c:v>1997.0</c:v>
                </c:pt>
                <c:pt idx="2">
                  <c:v>1998.0</c:v>
                </c:pt>
                <c:pt idx="3">
                  <c:v>1999.0</c:v>
                </c:pt>
                <c:pt idx="4">
                  <c:v>2000.0</c:v>
                </c:pt>
                <c:pt idx="5">
                  <c:v>2001.0</c:v>
                </c:pt>
                <c:pt idx="6">
                  <c:v>2002.0</c:v>
                </c:pt>
                <c:pt idx="7">
                  <c:v>2003.0</c:v>
                </c:pt>
                <c:pt idx="8">
                  <c:v>2004.0</c:v>
                </c:pt>
                <c:pt idx="9">
                  <c:v>2005.0</c:v>
                </c:pt>
                <c:pt idx="10">
                  <c:v>2006.0</c:v>
                </c:pt>
                <c:pt idx="11">
                  <c:v>2007.0</c:v>
                </c:pt>
                <c:pt idx="12">
                  <c:v>2008.0</c:v>
                </c:pt>
                <c:pt idx="13">
                  <c:v>2009.0</c:v>
                </c:pt>
                <c:pt idx="14">
                  <c:v>2010.0</c:v>
                </c:pt>
                <c:pt idx="15">
                  <c:v>2011.0</c:v>
                </c:pt>
                <c:pt idx="16">
                  <c:v>2012.0</c:v>
                </c:pt>
                <c:pt idx="17">
                  <c:v>2013.0</c:v>
                </c:pt>
              </c:numCache>
            </c:numRef>
          </c:cat>
          <c:val>
            <c:numRef>
              <c:f>Debt_Composition!$D$2:$D$19</c:f>
              <c:numCache>
                <c:formatCode>General</c:formatCode>
                <c:ptCount val="18"/>
                <c:pt idx="0">
                  <c:v>5804.0</c:v>
                </c:pt>
                <c:pt idx="1">
                  <c:v>7547.0</c:v>
                </c:pt>
                <c:pt idx="2">
                  <c:v>10170.0</c:v>
                </c:pt>
                <c:pt idx="3">
                  <c:v>6261.0</c:v>
                </c:pt>
                <c:pt idx="4">
                  <c:v>5406.0</c:v>
                </c:pt>
                <c:pt idx="5">
                  <c:v>4643.0</c:v>
                </c:pt>
                <c:pt idx="6">
                  <c:v>4633.0</c:v>
                </c:pt>
                <c:pt idx="7">
                  <c:v>5680.0</c:v>
                </c:pt>
                <c:pt idx="8">
                  <c:v>8852.0</c:v>
                </c:pt>
                <c:pt idx="9">
                  <c:v>7689.0</c:v>
                </c:pt>
                <c:pt idx="10">
                  <c:v>10840.0</c:v>
                </c:pt>
                <c:pt idx="11">
                  <c:v>19253.0</c:v>
                </c:pt>
                <c:pt idx="12">
                  <c:v>20632.0</c:v>
                </c:pt>
                <c:pt idx="13">
                  <c:v>22889.0</c:v>
                </c:pt>
                <c:pt idx="14">
                  <c:v>28638.0</c:v>
                </c:pt>
                <c:pt idx="15">
                  <c:v>45909.0</c:v>
                </c:pt>
                <c:pt idx="16">
                  <c:v>47444.0</c:v>
                </c:pt>
                <c:pt idx="17">
                  <c:v>49371.0</c:v>
                </c:pt>
              </c:numCache>
            </c:numRef>
          </c:val>
        </c:ser>
        <c:dLbls>
          <c:showLegendKey val="0"/>
          <c:showVal val="0"/>
          <c:showCatName val="0"/>
          <c:showSerName val="0"/>
          <c:showPercent val="0"/>
          <c:showBubbleSize val="0"/>
        </c:dLbls>
        <c:gapWidth val="150"/>
        <c:overlap val="100"/>
        <c:axId val="2111431992"/>
        <c:axId val="2111434824"/>
      </c:barChart>
      <c:lineChart>
        <c:grouping val="standard"/>
        <c:varyColors val="0"/>
        <c:ser>
          <c:idx val="0"/>
          <c:order val="0"/>
          <c:tx>
            <c:v>yield on portfolio debt liabilities</c:v>
          </c:tx>
          <c:marker>
            <c:symbol val="none"/>
          </c:marker>
          <c:val>
            <c:numRef>
              <c:f>Debt_Composition!$I$2:$I$19</c:f>
              <c:numCache>
                <c:formatCode>0.00_ </c:formatCode>
                <c:ptCount val="18"/>
                <c:pt idx="0">
                  <c:v>6.536890989814714</c:v>
                </c:pt>
                <c:pt idx="1">
                  <c:v>3.434075846923945</c:v>
                </c:pt>
                <c:pt idx="2">
                  <c:v>2.869794189348229</c:v>
                </c:pt>
                <c:pt idx="3">
                  <c:v>3.077813995444201</c:v>
                </c:pt>
                <c:pt idx="4">
                  <c:v>4.19592521994423</c:v>
                </c:pt>
                <c:pt idx="5">
                  <c:v>3.72884393245998</c:v>
                </c:pt>
                <c:pt idx="6">
                  <c:v>3.339051511290592</c:v>
                </c:pt>
                <c:pt idx="7">
                  <c:v>2.639061887754401</c:v>
                </c:pt>
                <c:pt idx="8">
                  <c:v>2.187912362613864</c:v>
                </c:pt>
                <c:pt idx="9">
                  <c:v>2.080474524994469</c:v>
                </c:pt>
                <c:pt idx="10">
                  <c:v>1.475556127318889</c:v>
                </c:pt>
                <c:pt idx="11">
                  <c:v>1.724924490775548</c:v>
                </c:pt>
                <c:pt idx="12">
                  <c:v>-0.019765033964203</c:v>
                </c:pt>
                <c:pt idx="13">
                  <c:v>2.675503138148061</c:v>
                </c:pt>
                <c:pt idx="14">
                  <c:v>2.071217062833974</c:v>
                </c:pt>
                <c:pt idx="15">
                  <c:v>1.545507948892877</c:v>
                </c:pt>
                <c:pt idx="16">
                  <c:v>1.053760873757414</c:v>
                </c:pt>
                <c:pt idx="17">
                  <c:v>0.700744025440358</c:v>
                </c:pt>
              </c:numCache>
            </c:numRef>
          </c:val>
          <c:smooth val="0"/>
        </c:ser>
        <c:dLbls>
          <c:showLegendKey val="0"/>
          <c:showVal val="0"/>
          <c:showCatName val="0"/>
          <c:showSerName val="0"/>
          <c:showPercent val="0"/>
          <c:showBubbleSize val="0"/>
        </c:dLbls>
        <c:marker val="1"/>
        <c:smooth val="0"/>
        <c:axId val="2111441096"/>
        <c:axId val="2111438152"/>
      </c:lineChart>
      <c:catAx>
        <c:axId val="2111431992"/>
        <c:scaling>
          <c:orientation val="minMax"/>
        </c:scaling>
        <c:delete val="0"/>
        <c:axPos val="b"/>
        <c:numFmt formatCode="General" sourceLinked="1"/>
        <c:majorTickMark val="out"/>
        <c:minorTickMark val="none"/>
        <c:tickLblPos val="nextTo"/>
        <c:crossAx val="2111434824"/>
        <c:crosses val="autoZero"/>
        <c:auto val="1"/>
        <c:lblAlgn val="ctr"/>
        <c:lblOffset val="100"/>
        <c:noMultiLvlLbl val="0"/>
      </c:catAx>
      <c:valAx>
        <c:axId val="2111434824"/>
        <c:scaling>
          <c:orientation val="minMax"/>
        </c:scaling>
        <c:delete val="0"/>
        <c:axPos val="l"/>
        <c:numFmt formatCode="0%" sourceLinked="1"/>
        <c:majorTickMark val="out"/>
        <c:minorTickMark val="none"/>
        <c:tickLblPos val="nextTo"/>
        <c:crossAx val="2111431992"/>
        <c:crosses val="autoZero"/>
        <c:crossBetween val="between"/>
      </c:valAx>
      <c:valAx>
        <c:axId val="2111438152"/>
        <c:scaling>
          <c:orientation val="minMax"/>
          <c:max val="5.0"/>
          <c:min val="-1.0"/>
        </c:scaling>
        <c:delete val="0"/>
        <c:axPos val="r"/>
        <c:numFmt formatCode="0_ " sourceLinked="0"/>
        <c:majorTickMark val="out"/>
        <c:minorTickMark val="none"/>
        <c:tickLblPos val="nextTo"/>
        <c:crossAx val="2111441096"/>
        <c:crosses val="max"/>
        <c:crossBetween val="between"/>
        <c:majorUnit val="1.0"/>
      </c:valAx>
      <c:catAx>
        <c:axId val="2111441096"/>
        <c:scaling>
          <c:orientation val="minMax"/>
        </c:scaling>
        <c:delete val="1"/>
        <c:axPos val="b"/>
        <c:majorTickMark val="out"/>
        <c:minorTickMark val="none"/>
        <c:tickLblPos val="nextTo"/>
        <c:crossAx val="2111438152"/>
        <c:crosses val="autoZero"/>
        <c:auto val="1"/>
        <c:lblAlgn val="ctr"/>
        <c:lblOffset val="100"/>
        <c:noMultiLvlLbl val="0"/>
      </c:catAx>
    </c:plotArea>
    <c:legend>
      <c:legendPos val="r"/>
      <c:layout>
        <c:manualLayout>
          <c:xMode val="edge"/>
          <c:yMode val="edge"/>
          <c:x val="0.824786324786325"/>
          <c:y val="0.0173669437153689"/>
          <c:w val="0.158119658119658"/>
          <c:h val="0.951377223680373"/>
        </c:manualLayout>
      </c:layout>
      <c:overlay val="0"/>
    </c:legend>
    <c:plotVisOnly val="1"/>
    <c:dispBlanksAs val="gap"/>
    <c:showDLblsOverMax val="0"/>
  </c:chart>
  <c:txPr>
    <a:bodyPr/>
    <a:lstStyle/>
    <a:p>
      <a:pPr>
        <a:defRPr>
          <a:latin typeface="Times New Roman"/>
          <a:cs typeface="Times New Roman"/>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203200</xdr:colOff>
      <xdr:row>3</xdr:row>
      <xdr:rowOff>215900</xdr:rowOff>
    </xdr:from>
    <xdr:to>
      <xdr:col>5</xdr:col>
      <xdr:colOff>863600</xdr:colOff>
      <xdr:row>15</xdr:row>
      <xdr:rowOff>215900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3</xdr:row>
      <xdr:rowOff>152400</xdr:rowOff>
    </xdr:from>
    <xdr:to>
      <xdr:col>8</xdr:col>
      <xdr:colOff>63500</xdr:colOff>
      <xdr:row>21</xdr:row>
      <xdr:rowOff>190500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787400</xdr:colOff>
      <xdr:row>4</xdr:row>
      <xdr:rowOff>50800</xdr:rowOff>
    </xdr:from>
    <xdr:to>
      <xdr:col>5</xdr:col>
      <xdr:colOff>673100</xdr:colOff>
      <xdr:row>16</xdr:row>
      <xdr:rowOff>50800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0.39096</cdr:x>
      <cdr:y>0.06718</cdr:y>
    </cdr:from>
    <cdr:to>
      <cdr:x>0.65425</cdr:x>
      <cdr:y>0.31718</cdr:y>
    </cdr:to>
    <cdr:sp macro="" textlink="">
      <cdr:nvSpPr>
        <cdr:cNvPr id="2" name="テキスト 1"/>
        <cdr:cNvSpPr txBox="1"/>
      </cdr:nvSpPr>
      <cdr:spPr>
        <a:xfrm xmlns:a="http://schemas.openxmlformats.org/drawingml/2006/main">
          <a:off x="1866905" y="184294"/>
          <a:ext cx="1257277" cy="6858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latin typeface="Times New Roman"/>
              <a:cs typeface="Times New Roman"/>
            </a:rPr>
            <a:t>net investment income/GDP</a:t>
          </a:r>
        </a:p>
        <a:p xmlns:a="http://schemas.openxmlformats.org/drawingml/2006/main">
          <a:r>
            <a:rPr lang="en-US" altLang="ja-JP" sz="1100">
              <a:latin typeface="Times New Roman"/>
              <a:cs typeface="Times New Roman"/>
            </a:rPr>
            <a:t>(line, right axis)</a:t>
          </a:r>
          <a:endParaRPr lang="ja-JP" altLang="en-US" sz="1100">
            <a:latin typeface="Times New Roman"/>
            <a:cs typeface="Times New Roman"/>
          </a:endParaRPr>
        </a:p>
      </cdr:txBody>
    </cdr:sp>
  </cdr:relSizeAnchor>
  <cdr:relSizeAnchor xmlns:cdr="http://schemas.openxmlformats.org/drawingml/2006/chartDrawing">
    <cdr:from>
      <cdr:x>0.59308</cdr:x>
      <cdr:y>0.21996</cdr:y>
    </cdr:from>
    <cdr:to>
      <cdr:x>0.68883</cdr:x>
      <cdr:y>0.26163</cdr:y>
    </cdr:to>
    <cdr:cxnSp macro="">
      <cdr:nvCxnSpPr>
        <cdr:cNvPr id="3" name="直線矢印コネクタ 2"/>
        <cdr:cNvCxnSpPr/>
      </cdr:nvCxnSpPr>
      <cdr:spPr>
        <a:xfrm xmlns:a="http://schemas.openxmlformats.org/drawingml/2006/main">
          <a:off x="2832095" y="603395"/>
          <a:ext cx="457196" cy="114301"/>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0.13032</cdr:x>
      <cdr:y>0.382</cdr:y>
    </cdr:from>
    <cdr:to>
      <cdr:x>0.39361</cdr:x>
      <cdr:y>0.67366</cdr:y>
    </cdr:to>
    <cdr:sp macro="" textlink="">
      <cdr:nvSpPr>
        <cdr:cNvPr id="4" name="テキスト 1"/>
        <cdr:cNvSpPr txBox="1"/>
      </cdr:nvSpPr>
      <cdr:spPr>
        <a:xfrm xmlns:a="http://schemas.openxmlformats.org/drawingml/2006/main">
          <a:off x="622305" y="1047898"/>
          <a:ext cx="1257277" cy="8000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latin typeface="Times New Roman"/>
              <a:cs typeface="Times New Roman"/>
            </a:rPr>
            <a:t>NFA/GDP</a:t>
          </a:r>
        </a:p>
        <a:p xmlns:a="http://schemas.openxmlformats.org/drawingml/2006/main">
          <a:r>
            <a:rPr lang="en-US" altLang="ja-JP" sz="1100">
              <a:latin typeface="Times New Roman"/>
              <a:cs typeface="Times New Roman"/>
            </a:rPr>
            <a:t>(bars,</a:t>
          </a:r>
          <a:r>
            <a:rPr lang="en-US" altLang="ja-JP" sz="1100" baseline="0">
              <a:latin typeface="Times New Roman"/>
              <a:cs typeface="Times New Roman"/>
            </a:rPr>
            <a:t> left axis)</a:t>
          </a:r>
          <a:endParaRPr lang="ja-JP" altLang="en-US" sz="1100">
            <a:latin typeface="Times New Roman"/>
            <a:cs typeface="Times New Roman"/>
          </a:endParaRPr>
        </a:p>
      </cdr:txBody>
    </cdr:sp>
  </cdr:relSizeAnchor>
  <cdr:relSizeAnchor xmlns:cdr="http://schemas.openxmlformats.org/drawingml/2006/chartDrawing">
    <cdr:from>
      <cdr:x>0.15692</cdr:x>
      <cdr:y>0.55792</cdr:y>
    </cdr:from>
    <cdr:to>
      <cdr:x>0.20478</cdr:x>
      <cdr:y>0.72458</cdr:y>
    </cdr:to>
    <cdr:cxnSp macro="">
      <cdr:nvCxnSpPr>
        <cdr:cNvPr id="5" name="直線矢印コネクタ 4"/>
        <cdr:cNvCxnSpPr/>
      </cdr:nvCxnSpPr>
      <cdr:spPr>
        <a:xfrm xmlns:a="http://schemas.openxmlformats.org/drawingml/2006/main" flipH="1">
          <a:off x="749305" y="1530474"/>
          <a:ext cx="228577" cy="457202"/>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1</xdr:col>
      <xdr:colOff>114300</xdr:colOff>
      <xdr:row>3</xdr:row>
      <xdr:rowOff>95250</xdr:rowOff>
    </xdr:from>
    <xdr:to>
      <xdr:col>5</xdr:col>
      <xdr:colOff>774700</xdr:colOff>
      <xdr:row>15</xdr:row>
      <xdr:rowOff>95250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101600</xdr:colOff>
      <xdr:row>17</xdr:row>
      <xdr:rowOff>57150</xdr:rowOff>
    </xdr:from>
    <xdr:to>
      <xdr:col>5</xdr:col>
      <xdr:colOff>762000</xdr:colOff>
      <xdr:row>29</xdr:row>
      <xdr:rowOff>57150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177800</xdr:colOff>
      <xdr:row>3</xdr:row>
      <xdr:rowOff>19050</xdr:rowOff>
    </xdr:from>
    <xdr:to>
      <xdr:col>7</xdr:col>
      <xdr:colOff>254000</xdr:colOff>
      <xdr:row>15</xdr:row>
      <xdr:rowOff>19050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2.xml"/><Relationship Id="rId1" Type="http://schemas.openxmlformats.org/officeDocument/2006/relationships/hyperlink" Target="http://www.boj.or.jp/en/statistics/br/bop/index.htm/" TargetMode="External"/><Relationship Id="rId2" Type="http://schemas.openxmlformats.org/officeDocument/2006/relationships/hyperlink" Target="http://www.mof.go.jp/english/international_policy/reference/iip/index.htm" TargetMode="Externa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hyperlink" Target="http://www.stat-search.boj.or.jp/index_en.html" TargetMode="Externa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25.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hyperlink" Target="http://www.philiplane.org/EWN.html" TargetMode="Externa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workbookViewId="0">
      <selection activeCell="A2" sqref="A2"/>
    </sheetView>
  </sheetViews>
  <sheetFormatPr baseColWidth="12" defaultRowHeight="18" x14ac:dyDescent="0"/>
  <cols>
    <col min="1" max="10" width="12.83203125" style="11"/>
  </cols>
  <sheetData>
    <row r="1" spans="1:10" s="24" customFormat="1">
      <c r="A1" s="81"/>
      <c r="B1" s="81"/>
      <c r="C1" s="81"/>
      <c r="D1" s="81"/>
      <c r="E1" s="81"/>
      <c r="F1" s="81"/>
      <c r="G1" s="81"/>
      <c r="H1" s="81"/>
      <c r="I1" s="81"/>
      <c r="J1" s="81"/>
    </row>
    <row r="2" spans="1:10" s="24" customFormat="1">
      <c r="A2" s="81"/>
      <c r="B2" s="93"/>
      <c r="C2" s="93"/>
      <c r="D2" s="93"/>
      <c r="E2" s="93"/>
      <c r="F2" s="93"/>
      <c r="G2" s="93"/>
      <c r="H2" s="81"/>
      <c r="I2" s="81"/>
      <c r="J2" s="81"/>
    </row>
    <row r="3" spans="1:10" s="24" customFormat="1">
      <c r="A3" s="81"/>
      <c r="B3" s="94" t="s">
        <v>511</v>
      </c>
      <c r="C3" s="93"/>
      <c r="D3" s="93"/>
      <c r="E3" s="93"/>
      <c r="F3" s="93"/>
      <c r="G3" s="93"/>
      <c r="H3" s="81"/>
      <c r="I3" s="81"/>
      <c r="J3" s="81"/>
    </row>
    <row r="4" spans="1:10">
      <c r="B4" s="93"/>
      <c r="C4" s="93"/>
      <c r="D4" s="93"/>
      <c r="E4" s="93"/>
      <c r="F4" s="93"/>
      <c r="G4" s="93"/>
    </row>
    <row r="5" spans="1:10">
      <c r="B5" s="93"/>
      <c r="C5" s="93"/>
      <c r="D5" s="93"/>
      <c r="E5" s="93"/>
      <c r="F5" s="93"/>
      <c r="G5" s="93"/>
    </row>
    <row r="6" spans="1:10">
      <c r="B6" s="93"/>
      <c r="C6" s="93"/>
      <c r="D6" s="93"/>
      <c r="E6" s="93"/>
      <c r="F6" s="93"/>
      <c r="G6" s="93"/>
    </row>
    <row r="7" spans="1:10">
      <c r="B7" s="93"/>
      <c r="C7" s="93"/>
      <c r="D7" s="93"/>
      <c r="E7" s="93"/>
      <c r="F7" s="93"/>
      <c r="G7" s="93"/>
    </row>
    <row r="8" spans="1:10">
      <c r="B8" s="93"/>
      <c r="C8" s="93"/>
      <c r="D8" s="93"/>
      <c r="E8" s="93"/>
      <c r="F8" s="93"/>
      <c r="G8" s="93"/>
    </row>
    <row r="9" spans="1:10">
      <c r="B9" s="93"/>
      <c r="C9" s="93"/>
      <c r="D9" s="93"/>
      <c r="E9" s="93"/>
      <c r="F9" s="93"/>
      <c r="G9" s="93"/>
    </row>
    <row r="10" spans="1:10">
      <c r="B10" s="93"/>
      <c r="C10" s="93"/>
      <c r="D10" s="93"/>
      <c r="E10" s="93"/>
      <c r="F10" s="93"/>
      <c r="G10" s="93"/>
    </row>
    <row r="11" spans="1:10">
      <c r="B11" s="93"/>
      <c r="C11" s="93"/>
      <c r="D11" s="93"/>
      <c r="E11" s="93"/>
      <c r="F11" s="93"/>
      <c r="G11" s="93"/>
    </row>
    <row r="12" spans="1:10">
      <c r="B12" s="93"/>
      <c r="C12" s="93"/>
      <c r="D12" s="93"/>
      <c r="E12" s="93"/>
      <c r="F12" s="93"/>
      <c r="G12" s="93"/>
    </row>
    <row r="13" spans="1:10">
      <c r="B13" s="93"/>
      <c r="C13" s="93"/>
      <c r="D13" s="93"/>
      <c r="E13" s="93"/>
      <c r="F13" s="93"/>
      <c r="G13" s="93"/>
    </row>
    <row r="14" spans="1:10">
      <c r="B14" s="93"/>
      <c r="C14" s="93"/>
      <c r="D14" s="93"/>
      <c r="E14" s="93"/>
      <c r="F14" s="93"/>
      <c r="G14" s="93"/>
    </row>
    <row r="15" spans="1:10">
      <c r="B15" s="93"/>
      <c r="C15" s="93"/>
      <c r="D15" s="93"/>
      <c r="E15" s="93"/>
      <c r="F15" s="93"/>
      <c r="G15" s="93"/>
    </row>
    <row r="16" spans="1:10">
      <c r="B16" s="93"/>
      <c r="C16" s="93"/>
      <c r="D16" s="93"/>
      <c r="E16" s="93"/>
      <c r="F16" s="93"/>
      <c r="G16" s="93"/>
    </row>
    <row r="17" spans="1:10">
      <c r="B17" s="93"/>
      <c r="C17" s="93"/>
      <c r="D17" s="93"/>
      <c r="E17" s="93"/>
      <c r="F17" s="93"/>
      <c r="G17" s="93"/>
    </row>
    <row r="18" spans="1:10" s="66" customFormat="1">
      <c r="A18" s="95"/>
      <c r="B18" s="96" t="s">
        <v>482</v>
      </c>
      <c r="C18" s="96"/>
      <c r="D18" s="96"/>
      <c r="E18" s="96"/>
      <c r="F18" s="96"/>
      <c r="G18" s="96"/>
      <c r="H18" s="95"/>
      <c r="I18" s="95"/>
      <c r="J18" s="95"/>
    </row>
    <row r="19" spans="1:10">
      <c r="B19" s="95" t="s">
        <v>390</v>
      </c>
    </row>
  </sheetData>
  <phoneticPr fontId="4"/>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
  <sheetViews>
    <sheetView workbookViewId="0">
      <pane xSplit="1" ySplit="2" topLeftCell="B3" activePane="bottomRight" state="frozen"/>
      <selection pane="topRight" activeCell="B1" sqref="B1"/>
      <selection pane="bottomLeft" activeCell="A3" sqref="A3"/>
      <selection pane="bottomRight"/>
    </sheetView>
  </sheetViews>
  <sheetFormatPr baseColWidth="12" defaultRowHeight="18" x14ac:dyDescent="0"/>
  <cols>
    <col min="2" max="2" width="16.1640625" customWidth="1"/>
  </cols>
  <sheetData>
    <row r="1" spans="1:15" s="35" customFormat="1" ht="36">
      <c r="A1" s="31"/>
      <c r="B1" s="33" t="s">
        <v>17</v>
      </c>
      <c r="C1" s="33" t="s">
        <v>10</v>
      </c>
      <c r="D1" s="33" t="s">
        <v>8</v>
      </c>
      <c r="E1" s="34" t="s">
        <v>21</v>
      </c>
      <c r="F1" s="33" t="s">
        <v>384</v>
      </c>
      <c r="G1" s="34" t="s">
        <v>23</v>
      </c>
      <c r="H1" s="33" t="s">
        <v>202</v>
      </c>
      <c r="I1" s="33" t="s">
        <v>18</v>
      </c>
      <c r="J1" s="33" t="s">
        <v>11</v>
      </c>
      <c r="K1" s="33" t="s">
        <v>9</v>
      </c>
      <c r="L1" s="34" t="s">
        <v>22</v>
      </c>
      <c r="M1" s="33" t="s">
        <v>385</v>
      </c>
      <c r="N1" s="34" t="s">
        <v>24</v>
      </c>
      <c r="O1" s="34"/>
    </row>
    <row r="2" spans="1:15" s="35" customFormat="1">
      <c r="A2" s="31"/>
      <c r="B2" s="33" t="s">
        <v>200</v>
      </c>
      <c r="C2" s="33" t="s">
        <v>200</v>
      </c>
      <c r="D2" s="33" t="s">
        <v>200</v>
      </c>
      <c r="E2" s="33" t="s">
        <v>200</v>
      </c>
      <c r="F2" s="33" t="s">
        <v>200</v>
      </c>
      <c r="G2" s="33" t="s">
        <v>200</v>
      </c>
      <c r="H2" s="33" t="s">
        <v>200</v>
      </c>
      <c r="I2" s="33" t="s">
        <v>200</v>
      </c>
      <c r="J2" s="33" t="s">
        <v>200</v>
      </c>
      <c r="K2" s="33" t="s">
        <v>200</v>
      </c>
      <c r="L2" s="33" t="s">
        <v>200</v>
      </c>
      <c r="M2" s="33" t="s">
        <v>200</v>
      </c>
      <c r="N2" s="33" t="s">
        <v>200</v>
      </c>
      <c r="O2" s="34"/>
    </row>
    <row r="3" spans="1:15">
      <c r="A3" s="30">
        <v>1995</v>
      </c>
      <c r="B3" s="76">
        <v>270738</v>
      </c>
      <c r="C3" s="76">
        <v>24520</v>
      </c>
      <c r="D3" s="76">
        <v>15040</v>
      </c>
      <c r="E3" s="76">
        <v>73217</v>
      </c>
      <c r="F3" s="76">
        <f>'NFA in dollar'!H27*'NFA in dollar'!$T27/1000</f>
        <v>329.99999999999994</v>
      </c>
      <c r="G3" s="76">
        <v>139129</v>
      </c>
      <c r="H3" s="76">
        <v>18832</v>
      </c>
      <c r="I3" s="76">
        <v>186666</v>
      </c>
      <c r="J3" s="76">
        <v>3448</v>
      </c>
      <c r="K3" s="76">
        <v>31495</v>
      </c>
      <c r="L3" s="76">
        <v>24884</v>
      </c>
      <c r="M3" s="76">
        <f>'NFA in dollar'!I27*'NFA in dollar'!$T27/1000</f>
        <v>292.99999999999994</v>
      </c>
      <c r="N3" s="76">
        <v>126839</v>
      </c>
      <c r="O3" s="4"/>
    </row>
    <row r="4" spans="1:15">
      <c r="A4" s="30">
        <v>1996</v>
      </c>
      <c r="B4" s="76">
        <v>302237</v>
      </c>
      <c r="C4" s="76">
        <v>29999</v>
      </c>
      <c r="D4" s="76">
        <v>17991</v>
      </c>
      <c r="E4" s="76">
        <v>93174</v>
      </c>
      <c r="F4" s="76">
        <v>461</v>
      </c>
      <c r="G4" s="76">
        <v>135372</v>
      </c>
      <c r="H4" s="76">
        <v>25242</v>
      </c>
      <c r="I4" s="76">
        <v>198878</v>
      </c>
      <c r="J4" s="76">
        <v>3473</v>
      </c>
      <c r="K4" s="76">
        <v>36256</v>
      </c>
      <c r="L4" s="76">
        <v>29821</v>
      </c>
      <c r="M4" s="76">
        <v>315</v>
      </c>
      <c r="N4" s="76">
        <v>129013</v>
      </c>
      <c r="O4" s="4"/>
    </row>
    <row r="5" spans="1:15">
      <c r="A5" s="30">
        <v>1997</v>
      </c>
      <c r="B5" s="76">
        <v>346524</v>
      </c>
      <c r="C5" s="76">
        <v>35334</v>
      </c>
      <c r="D5" s="76">
        <v>20635</v>
      </c>
      <c r="E5" s="76">
        <v>101158</v>
      </c>
      <c r="F5" s="76">
        <v>572</v>
      </c>
      <c r="G5" s="76">
        <v>160131</v>
      </c>
      <c r="H5" s="76">
        <v>28693</v>
      </c>
      <c r="I5" s="76">
        <v>221938</v>
      </c>
      <c r="J5" s="76">
        <v>3519</v>
      </c>
      <c r="K5" s="76">
        <v>36036</v>
      </c>
      <c r="L5" s="76">
        <v>40942</v>
      </c>
      <c r="M5" s="76">
        <v>533</v>
      </c>
      <c r="N5" s="76">
        <v>140908</v>
      </c>
      <c r="O5" s="4"/>
    </row>
    <row r="6" spans="1:15">
      <c r="A6" s="30">
        <v>1998</v>
      </c>
      <c r="B6" s="76">
        <v>336778</v>
      </c>
      <c r="C6" s="76">
        <v>31216</v>
      </c>
      <c r="D6" s="76">
        <v>24207</v>
      </c>
      <c r="E6" s="76">
        <v>103513</v>
      </c>
      <c r="F6" s="76">
        <v>589</v>
      </c>
      <c r="G6" s="76">
        <v>152390</v>
      </c>
      <c r="H6" s="76">
        <v>24862</v>
      </c>
      <c r="I6" s="76">
        <v>203504</v>
      </c>
      <c r="J6" s="76">
        <v>3013</v>
      </c>
      <c r="K6" s="76">
        <v>34913</v>
      </c>
      <c r="L6" s="76">
        <v>41421</v>
      </c>
      <c r="M6" s="76">
        <v>525</v>
      </c>
      <c r="N6" s="76">
        <v>123632</v>
      </c>
      <c r="O6" s="4"/>
    </row>
    <row r="7" spans="1:15">
      <c r="A7" s="30">
        <v>1999</v>
      </c>
      <c r="B7" s="76">
        <v>303613</v>
      </c>
      <c r="C7" s="76">
        <v>25425</v>
      </c>
      <c r="D7" s="76">
        <v>29170</v>
      </c>
      <c r="E7" s="76">
        <v>102518</v>
      </c>
      <c r="F7" s="76">
        <v>455</v>
      </c>
      <c r="G7" s="76">
        <v>116648</v>
      </c>
      <c r="H7" s="76">
        <v>29398</v>
      </c>
      <c r="I7" s="76">
        <v>218878</v>
      </c>
      <c r="J7" s="76">
        <v>4713</v>
      </c>
      <c r="K7" s="76">
        <v>84414</v>
      </c>
      <c r="L7" s="76">
        <v>33978</v>
      </c>
      <c r="M7" s="76">
        <v>317</v>
      </c>
      <c r="N7" s="76">
        <v>95457</v>
      </c>
      <c r="O7" s="4"/>
    </row>
    <row r="8" spans="1:15">
      <c r="A8" s="30">
        <v>2000</v>
      </c>
      <c r="B8" s="76">
        <v>341206</v>
      </c>
      <c r="C8" s="76">
        <v>31993</v>
      </c>
      <c r="D8" s="76">
        <v>30133</v>
      </c>
      <c r="E8" s="76">
        <v>119982</v>
      </c>
      <c r="F8" s="76">
        <v>381</v>
      </c>
      <c r="G8" s="76">
        <v>117239</v>
      </c>
      <c r="H8" s="76">
        <v>41478</v>
      </c>
      <c r="I8" s="76">
        <v>208159</v>
      </c>
      <c r="J8" s="76">
        <v>5782</v>
      </c>
      <c r="K8" s="76">
        <v>63222</v>
      </c>
      <c r="L8" s="76">
        <v>38387</v>
      </c>
      <c r="M8" s="76">
        <v>366</v>
      </c>
      <c r="N8" s="76">
        <v>100402</v>
      </c>
      <c r="O8" s="4"/>
    </row>
    <row r="9" spans="1:15">
      <c r="A9" s="30">
        <v>2001</v>
      </c>
      <c r="B9" s="76">
        <v>379781</v>
      </c>
      <c r="C9" s="76">
        <v>39555</v>
      </c>
      <c r="D9" s="76">
        <v>29965</v>
      </c>
      <c r="E9" s="76">
        <v>140025</v>
      </c>
      <c r="F9" s="76">
        <v>395</v>
      </c>
      <c r="G9" s="76">
        <v>117069</v>
      </c>
      <c r="H9" s="76">
        <v>52772</v>
      </c>
      <c r="I9" s="76">
        <v>200524</v>
      </c>
      <c r="J9" s="76">
        <v>6632</v>
      </c>
      <c r="K9" s="76">
        <v>49563</v>
      </c>
      <c r="L9" s="76">
        <v>38189</v>
      </c>
      <c r="M9" s="76">
        <v>467</v>
      </c>
      <c r="N9" s="76">
        <v>105673</v>
      </c>
      <c r="O9" s="4"/>
    </row>
    <row r="10" spans="1:15">
      <c r="A10" s="30">
        <v>2002</v>
      </c>
      <c r="B10" s="76">
        <v>365940</v>
      </c>
      <c r="C10" s="76">
        <v>36478</v>
      </c>
      <c r="D10" s="76">
        <v>25277</v>
      </c>
      <c r="E10" s="76">
        <v>141926</v>
      </c>
      <c r="F10" s="76">
        <v>404</v>
      </c>
      <c r="G10" s="76">
        <v>105792</v>
      </c>
      <c r="H10" s="76">
        <v>56063</v>
      </c>
      <c r="I10" s="76">
        <v>190631</v>
      </c>
      <c r="J10" s="76">
        <v>9369</v>
      </c>
      <c r="K10" s="76">
        <v>40757</v>
      </c>
      <c r="L10" s="76">
        <v>32432</v>
      </c>
      <c r="M10" s="76">
        <v>445</v>
      </c>
      <c r="N10" s="76">
        <v>107628</v>
      </c>
      <c r="O10" s="4"/>
    </row>
    <row r="11" spans="1:15">
      <c r="A11" s="30">
        <v>2003</v>
      </c>
      <c r="B11" s="76">
        <v>385538</v>
      </c>
      <c r="C11" s="76">
        <v>35932</v>
      </c>
      <c r="D11" s="76">
        <v>29394</v>
      </c>
      <c r="E11" s="76">
        <v>154959</v>
      </c>
      <c r="F11" s="76">
        <v>524</v>
      </c>
      <c r="G11" s="76">
        <v>92645</v>
      </c>
      <c r="H11" s="76">
        <v>72083</v>
      </c>
      <c r="I11" s="76">
        <v>212720</v>
      </c>
      <c r="J11" s="76">
        <v>9610</v>
      </c>
      <c r="K11" s="76">
        <v>60085</v>
      </c>
      <c r="L11" s="76">
        <v>32788</v>
      </c>
      <c r="M11" s="76">
        <v>727</v>
      </c>
      <c r="N11" s="76">
        <v>109510</v>
      </c>
      <c r="O11" s="4"/>
    </row>
    <row r="12" spans="1:15">
      <c r="A12" s="30">
        <v>2004</v>
      </c>
      <c r="B12" s="76">
        <v>433864</v>
      </c>
      <c r="C12" s="76">
        <v>38581</v>
      </c>
      <c r="D12" s="76">
        <v>37972</v>
      </c>
      <c r="E12" s="76">
        <v>171275</v>
      </c>
      <c r="F12" s="76">
        <v>599</v>
      </c>
      <c r="G12" s="76">
        <v>97718</v>
      </c>
      <c r="H12" s="76">
        <v>87720</v>
      </c>
      <c r="I12" s="76">
        <v>248067</v>
      </c>
      <c r="J12" s="76">
        <v>10098</v>
      </c>
      <c r="K12" s="76">
        <v>77393</v>
      </c>
      <c r="L12" s="76">
        <v>42699</v>
      </c>
      <c r="M12" s="76">
        <v>1121</v>
      </c>
      <c r="N12" s="76">
        <v>116756</v>
      </c>
      <c r="O12" s="4"/>
    </row>
    <row r="13" spans="1:15">
      <c r="A13" s="30">
        <v>2005</v>
      </c>
      <c r="B13" s="76">
        <v>506191</v>
      </c>
      <c r="C13" s="76">
        <v>45605</v>
      </c>
      <c r="D13" s="76">
        <v>48200</v>
      </c>
      <c r="E13" s="76">
        <v>201294</v>
      </c>
      <c r="F13" s="76">
        <v>3104</v>
      </c>
      <c r="G13" s="76">
        <v>108544</v>
      </c>
      <c r="H13" s="76">
        <v>99444</v>
      </c>
      <c r="I13" s="76">
        <v>325492</v>
      </c>
      <c r="J13" s="76">
        <v>11903</v>
      </c>
      <c r="K13" s="76">
        <v>132842</v>
      </c>
      <c r="L13" s="76">
        <v>49117</v>
      </c>
      <c r="M13" s="76">
        <v>3921</v>
      </c>
      <c r="N13" s="76">
        <v>127709</v>
      </c>
      <c r="O13" s="4"/>
    </row>
    <row r="14" spans="1:15">
      <c r="A14" s="30">
        <v>2006</v>
      </c>
      <c r="B14" s="76">
        <v>558106</v>
      </c>
      <c r="C14" s="76">
        <v>53476</v>
      </c>
      <c r="D14" s="76">
        <v>60714</v>
      </c>
      <c r="E14" s="76">
        <v>218043</v>
      </c>
      <c r="F14" s="76">
        <v>2739</v>
      </c>
      <c r="G14" s="76">
        <v>116698</v>
      </c>
      <c r="H14" s="76">
        <v>106435</v>
      </c>
      <c r="I14" s="76">
        <v>343024</v>
      </c>
      <c r="J14" s="76">
        <v>12803</v>
      </c>
      <c r="K14" s="76">
        <v>149277</v>
      </c>
      <c r="L14" s="76">
        <v>60419</v>
      </c>
      <c r="M14" s="76">
        <v>3587</v>
      </c>
      <c r="N14" s="76">
        <v>116938</v>
      </c>
      <c r="O14" s="4"/>
    </row>
    <row r="15" spans="1:15">
      <c r="A15" s="30">
        <v>2007</v>
      </c>
      <c r="B15" s="76">
        <v>610492</v>
      </c>
      <c r="C15" s="76">
        <v>61858</v>
      </c>
      <c r="D15" s="76">
        <v>65376</v>
      </c>
      <c r="E15" s="76">
        <v>222311</v>
      </c>
      <c r="F15" s="76">
        <v>4442</v>
      </c>
      <c r="G15" s="76">
        <v>146227</v>
      </c>
      <c r="H15" s="76">
        <v>110279</v>
      </c>
      <c r="I15" s="76">
        <v>360271</v>
      </c>
      <c r="J15" s="76">
        <v>15145</v>
      </c>
      <c r="K15" s="76">
        <v>142031</v>
      </c>
      <c r="L15" s="76">
        <v>79456</v>
      </c>
      <c r="M15" s="76">
        <v>4964</v>
      </c>
      <c r="N15" s="76">
        <v>118674</v>
      </c>
      <c r="O15" s="4"/>
    </row>
    <row r="16" spans="1:15">
      <c r="A16" s="30">
        <v>2008</v>
      </c>
      <c r="B16" s="76">
        <v>519179</v>
      </c>
      <c r="C16" s="76">
        <v>61740</v>
      </c>
      <c r="D16" s="76">
        <v>35817</v>
      </c>
      <c r="E16" s="76">
        <v>179865</v>
      </c>
      <c r="F16" s="76">
        <v>7022</v>
      </c>
      <c r="G16" s="76">
        <v>141752</v>
      </c>
      <c r="H16" s="76">
        <v>92983</v>
      </c>
      <c r="I16" s="76">
        <v>293271</v>
      </c>
      <c r="J16" s="76">
        <v>18456</v>
      </c>
      <c r="K16" s="76">
        <v>68625</v>
      </c>
      <c r="L16" s="76">
        <v>71282</v>
      </c>
      <c r="M16" s="76">
        <v>7761</v>
      </c>
      <c r="N16" s="76">
        <v>127146</v>
      </c>
      <c r="O16" s="4"/>
    </row>
    <row r="17" spans="1:16">
      <c r="A17" s="30">
        <v>2009</v>
      </c>
      <c r="B17" s="76">
        <v>554826</v>
      </c>
      <c r="C17" s="76">
        <v>68210</v>
      </c>
      <c r="D17" s="76">
        <v>54687</v>
      </c>
      <c r="E17" s="76">
        <v>207302</v>
      </c>
      <c r="F17" s="76">
        <v>4251</v>
      </c>
      <c r="G17" s="76">
        <v>123599</v>
      </c>
      <c r="H17" s="76">
        <v>96777</v>
      </c>
      <c r="I17" s="76">
        <v>286580</v>
      </c>
      <c r="J17" s="76">
        <v>18425</v>
      </c>
      <c r="K17" s="76">
        <v>76372</v>
      </c>
      <c r="L17" s="76">
        <v>65124</v>
      </c>
      <c r="M17" s="76">
        <v>5213</v>
      </c>
      <c r="N17" s="76">
        <v>121445</v>
      </c>
      <c r="O17" s="4"/>
    </row>
    <row r="18" spans="1:16">
      <c r="A18" s="30">
        <v>2010</v>
      </c>
      <c r="B18" s="76">
        <v>560215</v>
      </c>
      <c r="C18" s="76">
        <v>67691</v>
      </c>
      <c r="D18" s="76">
        <v>55262</v>
      </c>
      <c r="E18" s="76">
        <v>213944</v>
      </c>
      <c r="F18" s="76">
        <v>4287</v>
      </c>
      <c r="G18" s="76">
        <v>129700</v>
      </c>
      <c r="H18" s="76">
        <v>89330</v>
      </c>
      <c r="I18" s="76">
        <v>304308</v>
      </c>
      <c r="J18" s="76">
        <v>17502</v>
      </c>
      <c r="K18" s="76">
        <v>80537</v>
      </c>
      <c r="L18" s="76">
        <v>71514</v>
      </c>
      <c r="M18" s="76">
        <v>5267</v>
      </c>
      <c r="N18" s="76">
        <v>129488</v>
      </c>
      <c r="O18" s="4"/>
    </row>
    <row r="19" spans="1:16">
      <c r="A19" s="30">
        <v>2011</v>
      </c>
      <c r="B19" s="76">
        <v>581509</v>
      </c>
      <c r="C19" s="76">
        <v>74289</v>
      </c>
      <c r="D19" s="76">
        <v>51750</v>
      </c>
      <c r="E19" s="76">
        <v>210574</v>
      </c>
      <c r="F19" s="76">
        <v>4188</v>
      </c>
      <c r="G19" s="76">
        <v>140192</v>
      </c>
      <c r="H19" s="76">
        <v>100517</v>
      </c>
      <c r="I19" s="76">
        <v>316083</v>
      </c>
      <c r="J19" s="76">
        <v>17548</v>
      </c>
      <c r="K19" s="76">
        <v>65841</v>
      </c>
      <c r="L19" s="76">
        <v>91639</v>
      </c>
      <c r="M19" s="76">
        <v>5641</v>
      </c>
      <c r="N19" s="76">
        <v>135413</v>
      </c>
      <c r="O19" s="4"/>
    </row>
    <row r="20" spans="1:16">
      <c r="A20" s="30">
        <v>2012</v>
      </c>
      <c r="B20" s="76">
        <v>661902</v>
      </c>
      <c r="C20" s="76">
        <v>89813</v>
      </c>
      <c r="D20" s="76">
        <v>59475</v>
      </c>
      <c r="E20" s="76">
        <v>245637</v>
      </c>
      <c r="F20" s="76">
        <v>4623</v>
      </c>
      <c r="G20" s="76">
        <v>152891</v>
      </c>
      <c r="H20" s="76">
        <v>109464</v>
      </c>
      <c r="I20" s="76">
        <v>365588</v>
      </c>
      <c r="J20" s="76">
        <v>17808</v>
      </c>
      <c r="K20" s="76">
        <v>83556</v>
      </c>
      <c r="L20" s="76">
        <v>96948</v>
      </c>
      <c r="M20" s="76">
        <v>5326</v>
      </c>
      <c r="N20" s="76">
        <v>161950</v>
      </c>
      <c r="O20" s="4"/>
    </row>
    <row r="21" spans="1:16">
      <c r="A21" s="30">
        <v>2013</v>
      </c>
      <c r="B21" s="87">
        <v>797077</v>
      </c>
      <c r="C21" s="87">
        <v>117726</v>
      </c>
      <c r="D21" s="87">
        <v>74760</v>
      </c>
      <c r="E21" s="87">
        <v>284455</v>
      </c>
      <c r="F21" s="87">
        <v>8207</v>
      </c>
      <c r="G21" s="88">
        <v>178398</v>
      </c>
      <c r="H21" s="87">
        <v>133529</v>
      </c>
      <c r="I21" s="87">
        <v>472070</v>
      </c>
      <c r="J21" s="87">
        <v>17976</v>
      </c>
      <c r="K21" s="87">
        <v>150947</v>
      </c>
      <c r="L21" s="88">
        <v>100914</v>
      </c>
      <c r="M21" s="87">
        <v>8656</v>
      </c>
      <c r="N21" s="88">
        <v>193576</v>
      </c>
    </row>
    <row r="22" spans="1:16">
      <c r="B22" s="66"/>
      <c r="C22" s="66"/>
      <c r="D22" s="66"/>
      <c r="E22" s="66"/>
      <c r="F22" s="66"/>
      <c r="G22" s="89"/>
      <c r="H22" s="66"/>
      <c r="I22" s="66"/>
      <c r="J22" s="66"/>
      <c r="K22" s="66"/>
      <c r="L22" s="66"/>
      <c r="M22" s="66"/>
      <c r="N22" s="66"/>
      <c r="P22" s="12"/>
    </row>
    <row r="23" spans="1:16">
      <c r="A23" s="11" t="s">
        <v>199</v>
      </c>
    </row>
    <row r="24" spans="1:16">
      <c r="A24" s="11"/>
    </row>
    <row r="25" spans="1:16">
      <c r="A25" s="11" t="s">
        <v>203</v>
      </c>
    </row>
    <row r="26" spans="1:16">
      <c r="A26" s="49" t="s">
        <v>204</v>
      </c>
    </row>
    <row r="27" spans="1:16">
      <c r="A27" s="49" t="s">
        <v>205</v>
      </c>
    </row>
    <row r="28" spans="1:16">
      <c r="A28" s="86"/>
    </row>
    <row r="29" spans="1:16">
      <c r="A29" s="11"/>
    </row>
    <row r="30" spans="1:16">
      <c r="A30" s="11"/>
    </row>
    <row r="31" spans="1:16">
      <c r="A31" s="11"/>
    </row>
    <row r="32" spans="1:16">
      <c r="A32" s="11"/>
    </row>
  </sheetData>
  <phoneticPr fontId="4"/>
  <hyperlinks>
    <hyperlink ref="A26" r:id="rId1"/>
    <hyperlink ref="A27" r:id="rId2"/>
  </hyperlinks>
  <pageMargins left="0.7" right="0.7" top="0.75" bottom="0.75" header="0.3" footer="0.3"/>
  <pageSetup orientation="portrait" horizontalDpi="4294967292" verticalDpi="4294967292"/>
  <legacy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pane xSplit="1" ySplit="3" topLeftCell="B4" activePane="bottomRight" state="frozen"/>
      <selection pane="topRight" activeCell="B1" sqref="B1"/>
      <selection pane="bottomLeft" activeCell="A4" sqref="A4"/>
      <selection pane="bottomRight"/>
    </sheetView>
  </sheetViews>
  <sheetFormatPr baseColWidth="12" defaultRowHeight="18" x14ac:dyDescent="0"/>
  <cols>
    <col min="1" max="11" width="12.83203125" style="11"/>
  </cols>
  <sheetData>
    <row r="1" spans="1:11">
      <c r="A1" s="48" t="s">
        <v>521</v>
      </c>
      <c r="B1" s="5" t="s">
        <v>4</v>
      </c>
      <c r="G1" s="5" t="s">
        <v>5</v>
      </c>
    </row>
    <row r="2" spans="1:11" s="1" customFormat="1" ht="46">
      <c r="A2" s="9"/>
      <c r="B2" s="9" t="s">
        <v>386</v>
      </c>
      <c r="C2" s="9" t="s">
        <v>0</v>
      </c>
      <c r="D2" s="9" t="s">
        <v>1</v>
      </c>
      <c r="E2" s="9" t="s">
        <v>2</v>
      </c>
      <c r="F2" s="9" t="s">
        <v>3</v>
      </c>
      <c r="G2" s="9" t="s">
        <v>387</v>
      </c>
      <c r="H2" s="9" t="s">
        <v>0</v>
      </c>
      <c r="I2" s="9" t="s">
        <v>1</v>
      </c>
      <c r="J2" s="9" t="s">
        <v>2</v>
      </c>
      <c r="K2" s="9" t="s">
        <v>3</v>
      </c>
    </row>
    <row r="3" spans="1:11" s="1" customFormat="1">
      <c r="A3" s="9"/>
      <c r="B3" s="9" t="s">
        <v>200</v>
      </c>
      <c r="C3" s="9" t="s">
        <v>200</v>
      </c>
      <c r="D3" s="9" t="s">
        <v>200</v>
      </c>
      <c r="E3" s="9" t="s">
        <v>200</v>
      </c>
      <c r="F3" s="9" t="s">
        <v>200</v>
      </c>
      <c r="G3" s="9" t="s">
        <v>200</v>
      </c>
      <c r="H3" s="9" t="s">
        <v>200</v>
      </c>
      <c r="I3" s="9" t="s">
        <v>200</v>
      </c>
      <c r="J3" s="9" t="s">
        <v>200</v>
      </c>
      <c r="K3" s="9" t="s">
        <v>200</v>
      </c>
    </row>
    <row r="4" spans="1:11">
      <c r="A4" s="11">
        <v>1996</v>
      </c>
      <c r="B4" s="11">
        <f>SUM(C4:F4)</f>
        <v>12181.3</v>
      </c>
      <c r="C4" s="11">
        <v>1586.6</v>
      </c>
      <c r="D4" s="11">
        <v>534.20000000000005</v>
      </c>
      <c r="E4" s="11">
        <v>5669.2</v>
      </c>
      <c r="F4" s="11">
        <v>4391.3</v>
      </c>
      <c r="G4" s="11">
        <f>SUM(H4:K4)</f>
        <v>6368</v>
      </c>
      <c r="H4" s="11">
        <v>391.3</v>
      </c>
      <c r="I4" s="11">
        <v>183.3</v>
      </c>
      <c r="J4" s="11">
        <v>1661.6</v>
      </c>
      <c r="K4" s="11">
        <v>4131.8</v>
      </c>
    </row>
    <row r="5" spans="1:11">
      <c r="A5" s="11">
        <v>1997</v>
      </c>
      <c r="B5" s="11">
        <f t="shared" ref="B5:B21" si="0">SUM(C5:F5)</f>
        <v>13481.8</v>
      </c>
      <c r="C5" s="11">
        <v>1945.1</v>
      </c>
      <c r="D5" s="11">
        <v>671.8</v>
      </c>
      <c r="E5" s="11">
        <v>6473.6</v>
      </c>
      <c r="F5" s="11">
        <v>4391.3</v>
      </c>
      <c r="G5" s="11">
        <f t="shared" ref="G5:G21" si="1">SUM(H5:K5)</f>
        <v>6445.9</v>
      </c>
      <c r="H5" s="11">
        <v>480.6</v>
      </c>
      <c r="I5" s="11">
        <v>230.4</v>
      </c>
      <c r="J5" s="11">
        <v>1567.4</v>
      </c>
      <c r="K5" s="11">
        <v>4167.5</v>
      </c>
    </row>
    <row r="6" spans="1:11">
      <c r="A6" s="11">
        <v>1998</v>
      </c>
      <c r="B6" s="11">
        <f t="shared" si="0"/>
        <v>13099.4</v>
      </c>
      <c r="C6" s="11">
        <v>1623.1</v>
      </c>
      <c r="D6" s="11">
        <v>752.5</v>
      </c>
      <c r="E6" s="11">
        <v>6201.7</v>
      </c>
      <c r="F6" s="11">
        <v>4522.1000000000004</v>
      </c>
      <c r="G6" s="11">
        <f t="shared" si="1"/>
        <v>5957.2</v>
      </c>
      <c r="H6" s="11">
        <v>325.3</v>
      </c>
      <c r="I6" s="11">
        <v>223.5</v>
      </c>
      <c r="J6" s="11">
        <v>1454.3</v>
      </c>
      <c r="K6" s="11">
        <v>3954.1</v>
      </c>
    </row>
    <row r="7" spans="1:11">
      <c r="A7" s="11">
        <v>1999</v>
      </c>
      <c r="B7" s="11">
        <f t="shared" si="0"/>
        <v>10473.9</v>
      </c>
      <c r="C7" s="11">
        <v>703.6</v>
      </c>
      <c r="D7" s="11">
        <v>768.5</v>
      </c>
      <c r="E7" s="11">
        <v>5475.9</v>
      </c>
      <c r="F7" s="11">
        <v>3525.9</v>
      </c>
      <c r="G7" s="11">
        <f t="shared" si="1"/>
        <v>3903.7</v>
      </c>
      <c r="H7" s="11">
        <v>269.2</v>
      </c>
      <c r="I7" s="11">
        <v>173.7</v>
      </c>
      <c r="J7" s="11">
        <v>1134.2</v>
      </c>
      <c r="K7" s="11">
        <v>2326.6</v>
      </c>
    </row>
    <row r="8" spans="1:11">
      <c r="A8" s="11">
        <v>2000</v>
      </c>
      <c r="B8" s="11">
        <f t="shared" si="0"/>
        <v>10443.299999999999</v>
      </c>
      <c r="C8" s="11">
        <v>890.5</v>
      </c>
      <c r="D8" s="11">
        <v>794.6</v>
      </c>
      <c r="E8" s="11">
        <v>5813.8</v>
      </c>
      <c r="F8" s="11">
        <v>2944.4</v>
      </c>
      <c r="G8" s="11">
        <f t="shared" si="1"/>
        <v>3938</v>
      </c>
      <c r="H8" s="11">
        <v>282.60000000000002</v>
      </c>
      <c r="I8" s="11">
        <v>301.60000000000002</v>
      </c>
      <c r="J8" s="11">
        <v>1194.5</v>
      </c>
      <c r="K8" s="11">
        <v>2159.3000000000002</v>
      </c>
    </row>
    <row r="9" spans="1:11">
      <c r="A9" s="11">
        <v>2001</v>
      </c>
      <c r="B9" s="11">
        <f t="shared" si="0"/>
        <v>12488.599999999999</v>
      </c>
      <c r="C9" s="11">
        <v>2044.7</v>
      </c>
      <c r="D9" s="11">
        <v>877</v>
      </c>
      <c r="E9" s="11">
        <v>6786.2</v>
      </c>
      <c r="F9" s="11">
        <v>2780.7</v>
      </c>
      <c r="G9" s="11">
        <f t="shared" si="1"/>
        <v>4082.8</v>
      </c>
      <c r="H9" s="11">
        <v>501.3</v>
      </c>
      <c r="I9" s="11">
        <v>325</v>
      </c>
      <c r="J9" s="11">
        <v>1111.5</v>
      </c>
      <c r="K9" s="11">
        <v>2145</v>
      </c>
    </row>
    <row r="10" spans="1:11">
      <c r="A10" s="11">
        <v>2002</v>
      </c>
      <c r="B10" s="11">
        <f t="shared" si="0"/>
        <v>11462.800000000001</v>
      </c>
      <c r="C10" s="11">
        <v>2107</v>
      </c>
      <c r="D10" s="11">
        <v>1066.4000000000001</v>
      </c>
      <c r="E10" s="11">
        <v>6509.7</v>
      </c>
      <c r="F10" s="11">
        <v>1779.7</v>
      </c>
      <c r="G10" s="11">
        <f t="shared" si="1"/>
        <v>3185.6</v>
      </c>
      <c r="H10" s="11">
        <v>663</v>
      </c>
      <c r="I10" s="11">
        <v>310.5</v>
      </c>
      <c r="J10" s="11">
        <v>920.1</v>
      </c>
      <c r="K10" s="11">
        <v>1292</v>
      </c>
    </row>
    <row r="11" spans="1:11">
      <c r="A11" s="11">
        <v>2003</v>
      </c>
      <c r="B11" s="11">
        <f t="shared" si="0"/>
        <v>11040</v>
      </c>
      <c r="C11" s="11">
        <v>1527.9</v>
      </c>
      <c r="D11" s="11">
        <v>1195.3</v>
      </c>
      <c r="E11" s="11">
        <v>6788.7</v>
      </c>
      <c r="F11" s="11">
        <v>1528.1</v>
      </c>
      <c r="G11" s="11">
        <f t="shared" si="1"/>
        <v>2745.3</v>
      </c>
      <c r="H11" s="11">
        <v>584.9</v>
      </c>
      <c r="I11" s="11">
        <v>390.1</v>
      </c>
      <c r="J11" s="11">
        <v>773.4</v>
      </c>
      <c r="K11" s="11">
        <v>996.9</v>
      </c>
    </row>
    <row r="12" spans="1:11">
      <c r="A12" s="11">
        <v>2004</v>
      </c>
      <c r="B12" s="11">
        <f t="shared" si="0"/>
        <v>12242.7</v>
      </c>
      <c r="C12" s="11">
        <v>2054.5</v>
      </c>
      <c r="D12" s="11">
        <v>1483.9</v>
      </c>
      <c r="E12" s="11">
        <v>7311.7</v>
      </c>
      <c r="F12" s="11">
        <v>1392.6</v>
      </c>
      <c r="G12" s="11">
        <f t="shared" si="1"/>
        <v>2956.8</v>
      </c>
      <c r="H12" s="11">
        <v>687.1</v>
      </c>
      <c r="I12" s="11">
        <v>650.1</v>
      </c>
      <c r="J12" s="11">
        <v>714.6</v>
      </c>
      <c r="K12" s="11">
        <v>905</v>
      </c>
    </row>
    <row r="13" spans="1:11">
      <c r="A13" s="11">
        <v>2005</v>
      </c>
      <c r="B13" s="11">
        <f t="shared" si="0"/>
        <v>15559.7</v>
      </c>
      <c r="C13" s="11">
        <v>3350.4</v>
      </c>
      <c r="D13" s="11">
        <v>2080.1999999999998</v>
      </c>
      <c r="E13" s="11">
        <v>8441.9</v>
      </c>
      <c r="F13" s="11">
        <v>1687.2</v>
      </c>
      <c r="G13" s="11">
        <f t="shared" si="1"/>
        <v>4125.3999999999996</v>
      </c>
      <c r="H13" s="11">
        <v>1044.0999999999999</v>
      </c>
      <c r="I13" s="11">
        <v>1104.8</v>
      </c>
      <c r="J13" s="11">
        <v>769.3</v>
      </c>
      <c r="K13" s="11">
        <v>1207.2</v>
      </c>
    </row>
    <row r="14" spans="1:11">
      <c r="A14" s="11">
        <v>2006</v>
      </c>
      <c r="B14" s="11">
        <f t="shared" si="0"/>
        <v>19330.900000000001</v>
      </c>
      <c r="C14" s="11">
        <v>4082.7</v>
      </c>
      <c r="D14" s="11">
        <v>2705.9</v>
      </c>
      <c r="E14" s="11">
        <v>10303.4</v>
      </c>
      <c r="F14" s="11">
        <v>2238.9</v>
      </c>
      <c r="G14" s="11">
        <f t="shared" si="1"/>
        <v>5516.7</v>
      </c>
      <c r="H14" s="11">
        <v>1048.8</v>
      </c>
      <c r="I14" s="11">
        <v>1609</v>
      </c>
      <c r="J14" s="11">
        <v>844.7</v>
      </c>
      <c r="K14" s="11">
        <v>2014.2</v>
      </c>
    </row>
    <row r="15" spans="1:11">
      <c r="A15" s="11">
        <v>2007</v>
      </c>
      <c r="B15" s="11">
        <f t="shared" si="0"/>
        <v>23612.299999999996</v>
      </c>
      <c r="C15" s="11">
        <v>5309.2</v>
      </c>
      <c r="D15" s="11">
        <v>3363.7</v>
      </c>
      <c r="E15" s="11">
        <v>11997.3</v>
      </c>
      <c r="F15" s="11">
        <v>2942.1</v>
      </c>
      <c r="G15" s="11">
        <f t="shared" si="1"/>
        <v>7138.4</v>
      </c>
      <c r="H15" s="11">
        <v>1743.7</v>
      </c>
      <c r="I15" s="11">
        <v>2031.7</v>
      </c>
      <c r="J15" s="11">
        <v>1077.8</v>
      </c>
      <c r="K15" s="11">
        <v>2285.1999999999998</v>
      </c>
    </row>
    <row r="16" spans="1:11">
      <c r="A16" s="11">
        <v>2008</v>
      </c>
      <c r="B16" s="11">
        <f t="shared" si="0"/>
        <v>22250.5</v>
      </c>
      <c r="C16" s="11">
        <v>5033.8999999999996</v>
      </c>
      <c r="D16" s="11">
        <v>3298.3</v>
      </c>
      <c r="E16" s="11">
        <v>11233.3</v>
      </c>
      <c r="F16" s="11">
        <v>2685</v>
      </c>
      <c r="G16" s="11">
        <f t="shared" si="1"/>
        <v>6124.7000000000007</v>
      </c>
      <c r="H16" s="11">
        <v>1222.4000000000001</v>
      </c>
      <c r="I16" s="11">
        <v>2128.4</v>
      </c>
      <c r="J16" s="11">
        <v>1075.4000000000001</v>
      </c>
      <c r="K16" s="11">
        <v>1698.5</v>
      </c>
    </row>
    <row r="17" spans="1:11">
      <c r="A17" s="11">
        <v>2009</v>
      </c>
      <c r="B17" s="11">
        <f t="shared" si="0"/>
        <v>16877.099999999999</v>
      </c>
      <c r="C17" s="11">
        <v>4287</v>
      </c>
      <c r="D17" s="11">
        <v>2319.1999999999998</v>
      </c>
      <c r="E17" s="11">
        <v>8756.2999999999993</v>
      </c>
      <c r="F17" s="11">
        <v>1514.6</v>
      </c>
      <c r="G17" s="11">
        <f t="shared" si="1"/>
        <v>4098.8</v>
      </c>
      <c r="H17" s="11">
        <v>826.7</v>
      </c>
      <c r="I17" s="11">
        <v>1361.6</v>
      </c>
      <c r="J17" s="11">
        <v>921.5</v>
      </c>
      <c r="K17" s="11">
        <v>989</v>
      </c>
    </row>
    <row r="18" spans="1:11">
      <c r="A18" s="11">
        <v>2010</v>
      </c>
      <c r="B18" s="11">
        <f t="shared" si="0"/>
        <v>15936.2</v>
      </c>
      <c r="C18" s="11">
        <v>3357.8</v>
      </c>
      <c r="D18" s="11">
        <v>3144.5</v>
      </c>
      <c r="E18" s="11">
        <v>8224.9</v>
      </c>
      <c r="F18" s="11">
        <v>1209</v>
      </c>
      <c r="G18" s="11">
        <f t="shared" si="1"/>
        <v>3516.9</v>
      </c>
      <c r="H18" s="11">
        <v>506.6</v>
      </c>
      <c r="I18" s="11">
        <v>1505.9</v>
      </c>
      <c r="J18" s="11">
        <v>870.4</v>
      </c>
      <c r="K18" s="11">
        <v>634</v>
      </c>
    </row>
    <row r="19" spans="1:11">
      <c r="A19" s="11">
        <v>2011</v>
      </c>
      <c r="B19" s="11">
        <f t="shared" si="0"/>
        <v>18128.8</v>
      </c>
      <c r="C19" s="11">
        <v>4701.1000000000004</v>
      </c>
      <c r="D19" s="11">
        <v>4364</v>
      </c>
      <c r="E19" s="11">
        <v>7816.6</v>
      </c>
      <c r="F19" s="11">
        <v>1247.0999999999999</v>
      </c>
      <c r="G19" s="11">
        <f t="shared" si="1"/>
        <v>4084.7</v>
      </c>
      <c r="H19" s="11">
        <v>879.4</v>
      </c>
      <c r="I19" s="11">
        <v>1742.6</v>
      </c>
      <c r="J19" s="11">
        <v>899.5</v>
      </c>
      <c r="K19" s="11">
        <v>563.20000000000005</v>
      </c>
    </row>
    <row r="20" spans="1:11">
      <c r="A20" s="11">
        <v>2012</v>
      </c>
      <c r="B20" s="11">
        <f t="shared" si="0"/>
        <v>18750.899999999998</v>
      </c>
      <c r="C20" s="11">
        <v>5433.5</v>
      </c>
      <c r="D20" s="11">
        <v>4613.1000000000004</v>
      </c>
      <c r="E20" s="11">
        <v>7501.2</v>
      </c>
      <c r="F20" s="11">
        <v>1203.0999999999999</v>
      </c>
      <c r="G20" s="11">
        <f t="shared" si="1"/>
        <v>4473.1000000000004</v>
      </c>
      <c r="H20" s="11">
        <v>1219.5</v>
      </c>
      <c r="I20" s="11">
        <v>1783.3</v>
      </c>
      <c r="J20" s="11">
        <v>934.7</v>
      </c>
      <c r="K20" s="11">
        <v>535.6</v>
      </c>
    </row>
    <row r="21" spans="1:11">
      <c r="A21" s="11">
        <v>2013</v>
      </c>
      <c r="B21" s="11">
        <f t="shared" si="0"/>
        <v>21661.4</v>
      </c>
      <c r="C21" s="11">
        <v>6658.6</v>
      </c>
      <c r="D21" s="11">
        <v>5257</v>
      </c>
      <c r="E21" s="11">
        <v>8512.4</v>
      </c>
      <c r="F21" s="11">
        <v>1233.4000000000001</v>
      </c>
      <c r="G21" s="11">
        <f t="shared" si="1"/>
        <v>5181.5</v>
      </c>
      <c r="H21" s="11">
        <v>1271.9000000000001</v>
      </c>
      <c r="I21" s="11">
        <v>2221.3000000000002</v>
      </c>
      <c r="J21" s="11">
        <v>1030.3</v>
      </c>
      <c r="K21" s="11">
        <v>658</v>
      </c>
    </row>
    <row r="24" spans="1:11">
      <c r="A24" s="11" t="s">
        <v>207</v>
      </c>
    </row>
    <row r="25" spans="1:11">
      <c r="A25" s="11" t="s">
        <v>388</v>
      </c>
    </row>
    <row r="26" spans="1:11">
      <c r="A26" s="11" t="s">
        <v>208</v>
      </c>
    </row>
    <row r="28" spans="1:11">
      <c r="A28" s="49"/>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workbookViewId="0">
      <pane xSplit="1" ySplit="3" topLeftCell="B4" activePane="bottomRight" state="frozen"/>
      <selection pane="topRight" activeCell="B1" sqref="B1"/>
      <selection pane="bottomLeft" activeCell="A3" sqref="A3"/>
      <selection pane="bottomRight"/>
    </sheetView>
  </sheetViews>
  <sheetFormatPr baseColWidth="12" defaultRowHeight="18" x14ac:dyDescent="0"/>
  <cols>
    <col min="1" max="1" width="12.83203125" style="11"/>
    <col min="2" max="24" width="12.83203125" style="7"/>
    <col min="25" max="25" width="17.33203125" style="7" customWidth="1"/>
    <col min="26" max="30" width="12.83203125" style="8"/>
    <col min="31" max="31" width="12.83203125" style="11"/>
    <col min="32" max="36" width="12.83203125" style="8"/>
  </cols>
  <sheetData>
    <row r="1" spans="1:36">
      <c r="B1" s="7" t="s">
        <v>391</v>
      </c>
      <c r="O1" s="7" t="s">
        <v>220</v>
      </c>
      <c r="AF1" s="50" t="s">
        <v>658</v>
      </c>
    </row>
    <row r="2" spans="1:36">
      <c r="A2" s="5"/>
      <c r="B2" s="6" t="s">
        <v>4</v>
      </c>
      <c r="G2" s="6" t="s">
        <v>5</v>
      </c>
      <c r="O2" s="6" t="s">
        <v>4</v>
      </c>
      <c r="T2" s="6" t="s">
        <v>5</v>
      </c>
      <c r="Z2" s="8" t="s">
        <v>27</v>
      </c>
      <c r="AF2" s="50" t="s">
        <v>221</v>
      </c>
      <c r="AH2" s="8" t="s">
        <v>192</v>
      </c>
    </row>
    <row r="3" spans="1:36" ht="50" customHeight="1">
      <c r="A3" s="9"/>
      <c r="B3" s="10" t="s">
        <v>176</v>
      </c>
      <c r="C3" s="10" t="s">
        <v>177</v>
      </c>
      <c r="D3" s="10" t="s">
        <v>178</v>
      </c>
      <c r="E3" s="10" t="s">
        <v>179</v>
      </c>
      <c r="F3" s="10" t="s">
        <v>180</v>
      </c>
      <c r="G3" s="10" t="s">
        <v>181</v>
      </c>
      <c r="H3" s="10" t="s">
        <v>177</v>
      </c>
      <c r="I3" s="10" t="s">
        <v>182</v>
      </c>
      <c r="J3" s="10" t="s">
        <v>183</v>
      </c>
      <c r="K3" s="10" t="s">
        <v>184</v>
      </c>
      <c r="L3" s="10"/>
      <c r="M3" s="10" t="s">
        <v>657</v>
      </c>
      <c r="N3" s="10"/>
      <c r="O3" s="10" t="s">
        <v>176</v>
      </c>
      <c r="P3" s="10" t="s">
        <v>177</v>
      </c>
      <c r="Q3" s="10" t="s">
        <v>178</v>
      </c>
      <c r="R3" s="10" t="s">
        <v>179</v>
      </c>
      <c r="S3" s="10" t="s">
        <v>180</v>
      </c>
      <c r="T3" s="10" t="s">
        <v>181</v>
      </c>
      <c r="U3" s="10" t="s">
        <v>177</v>
      </c>
      <c r="V3" s="10" t="s">
        <v>182</v>
      </c>
      <c r="W3" s="10" t="s">
        <v>183</v>
      </c>
      <c r="X3" s="10" t="s">
        <v>184</v>
      </c>
      <c r="Y3" s="10"/>
      <c r="Z3" s="44" t="s">
        <v>185</v>
      </c>
      <c r="AA3" s="10" t="s">
        <v>177</v>
      </c>
      <c r="AB3" s="10" t="s">
        <v>182</v>
      </c>
      <c r="AC3" s="10" t="s">
        <v>183</v>
      </c>
      <c r="AD3" s="10" t="s">
        <v>184</v>
      </c>
      <c r="AF3" s="44" t="s">
        <v>190</v>
      </c>
      <c r="AG3" s="44" t="s">
        <v>191</v>
      </c>
      <c r="AH3" s="44" t="s">
        <v>190</v>
      </c>
      <c r="AI3" s="44" t="s">
        <v>191</v>
      </c>
      <c r="AJ3" s="44" t="s">
        <v>193</v>
      </c>
    </row>
    <row r="4" spans="1:36">
      <c r="A4" s="11">
        <v>1996</v>
      </c>
      <c r="B4" s="7">
        <f>Balance_on_income!B4/SUM(NFA_in_yen!C3+NFA_in_yen!D3+NFA_in_yen!E3+NFA_in_yen!G3+NFA_in_yen!H3)*100</f>
        <v>4.4992945209021267</v>
      </c>
      <c r="C4" s="7">
        <f>Balance_on_income!C4/NFA_in_yen!C3*100</f>
        <v>6.4706362153344203</v>
      </c>
      <c r="D4" s="7">
        <f>Balance_on_income!D4/NFA_in_yen!D3*100</f>
        <v>3.5518617021276602</v>
      </c>
      <c r="E4" s="7">
        <f>Balance_on_income!E4/NFA_in_yen!E3*100</f>
        <v>7.7430105030252534</v>
      </c>
      <c r="F4" s="7">
        <f>Balance_on_income!F4/NFA_in_yen!G3*100</f>
        <v>3.156279424131561</v>
      </c>
      <c r="G4" s="7">
        <f>Balance_on_income!G4/SUM(NFA_in_yen!J3+NFA_in_yen!K3+NFA_in_yen!L3+NFA_in_yen!N3)*100</f>
        <v>3.4114407551455539</v>
      </c>
      <c r="H4" s="7">
        <f>Balance_on_income!H4/NFA_in_yen!J3*100</f>
        <v>11.34860788863109</v>
      </c>
      <c r="I4" s="7">
        <f>Balance_on_income!I4/NFA_in_yen!K3*100</f>
        <v>0.58199714240355616</v>
      </c>
      <c r="J4" s="7">
        <f>Balance_on_income!J4/NFA_in_yen!L3*100</f>
        <v>6.6773830573862716</v>
      </c>
      <c r="K4" s="7">
        <f>Balance_on_income!K4/NFA_in_yen!N3*100</f>
        <v>3.2575154329504334</v>
      </c>
      <c r="M4" s="8">
        <v>0.131871754719214</v>
      </c>
      <c r="N4" s="21"/>
      <c r="O4" s="8">
        <f t="shared" ref="O4:O21" si="0">((1+B4/100)/(1+M4/100)-1)*100</f>
        <v>4.3616709541605792</v>
      </c>
      <c r="P4" s="8">
        <f t="shared" ref="P4:P21" si="1">((1+C4/100)/(1+M4/100)-1)*100</f>
        <v>6.3304164293887411</v>
      </c>
      <c r="Q4" s="8">
        <f t="shared" ref="Q4:Q21" si="2">((1+D4/100)/(1+M4/100)-1)*100</f>
        <v>3.415485886238101</v>
      </c>
      <c r="R4" s="8">
        <f t="shared" ref="R4:R21" si="3">((1+E4/100)/(1+M4/100)-1)*100</f>
        <v>7.6011150245449688</v>
      </c>
      <c r="S4" s="8">
        <f t="shared" ref="S4:S21" si="4">((1+F4/100)/(1+M4/100)-1)*100</f>
        <v>3.0204245825154352</v>
      </c>
      <c r="T4" s="8">
        <f t="shared" ref="T4:T21" si="5">((1+G4/100)/(1+M4/100)-1)*100</f>
        <v>3.2752498709500699</v>
      </c>
      <c r="U4" s="8">
        <f t="shared" ref="U4:U21" si="6">((1+H4/100)/(1+M4/100)-1)*100</f>
        <v>11.201963907543977</v>
      </c>
      <c r="V4" s="8">
        <f t="shared" ref="V4:V21" si="7">((1+I4/100)/(1+M4/100)-1)*100</f>
        <v>0.44953258118149986</v>
      </c>
      <c r="W4" s="8">
        <f t="shared" ref="W4:W21" si="8">((1+J4/100)/(1+M4/100)-1)*100</f>
        <v>6.5368909898147143</v>
      </c>
      <c r="X4" s="8">
        <f>((1+K4/100)/(1+M4/100)-1)*100</f>
        <v>3.1215272654522286</v>
      </c>
      <c r="Z4" s="8">
        <f t="shared" ref="Z4:Z21" si="9">O4-T4</f>
        <v>1.0864210832105092</v>
      </c>
      <c r="AA4" s="8">
        <f t="shared" ref="AA4:AA21" si="10">P4-U4</f>
        <v>-4.8715474781552359</v>
      </c>
      <c r="AB4" s="8">
        <f>Q4-V4</f>
        <v>2.9659533050566012</v>
      </c>
      <c r="AC4" s="8">
        <f>R4-W4</f>
        <v>1.0642240347302545</v>
      </c>
      <c r="AD4" s="8">
        <f>S4-X4</f>
        <v>-0.10110268293679336</v>
      </c>
      <c r="AF4" s="8">
        <f>Balance_on_income!E4/(NFA_in_yen!E3+NFA_in_yen!H3)*100</f>
        <v>6.1588936327390851</v>
      </c>
      <c r="AG4" s="8">
        <f>Balance_on_income!J4/NFA_in_yen!L3*100</f>
        <v>6.6773830573862716</v>
      </c>
      <c r="AH4" s="8">
        <f t="shared" ref="AH4:AH21" si="11">((1+AF4/100)/(1+M4/100)-1)*100</f>
        <v>6.019084405795927</v>
      </c>
      <c r="AI4" s="8">
        <f t="shared" ref="AI4:AI21" si="12">((1+AG4/100)/(1+M4/100)-1)*100</f>
        <v>6.5368909898147143</v>
      </c>
      <c r="AJ4" s="8">
        <f t="shared" ref="AJ4:AJ21" si="13">AH4-AI4</f>
        <v>-0.51780658401878732</v>
      </c>
    </row>
    <row r="5" spans="1:36">
      <c r="A5" s="11">
        <v>1997</v>
      </c>
      <c r="B5" s="7">
        <f>Balance_on_income!B5/SUM(NFA_in_yen!C4+NFA_in_yen!D4+NFA_in_yen!E4+NFA_in_yen!G4+NFA_in_yen!H4)*100</f>
        <v>4.4674562095315098</v>
      </c>
      <c r="C5" s="7">
        <f>Balance_on_income!C5/NFA_in_yen!C4*100</f>
        <v>6.4838827960932033</v>
      </c>
      <c r="D5" s="7">
        <f>Balance_on_income!D5/NFA_in_yen!D4*100</f>
        <v>3.7340892668556496</v>
      </c>
      <c r="E5" s="7">
        <f>Balance_on_income!E5/NFA_in_yen!E4*100</f>
        <v>6.9478609912636573</v>
      </c>
      <c r="F5" s="7">
        <f>Balance_on_income!F5/NFA_in_yen!G4*100</f>
        <v>3.2438761339124782</v>
      </c>
      <c r="G5" s="7">
        <f>Balance_on_income!G5/SUM(NFA_in_yen!J4+NFA_in_yen!K4+NFA_in_yen!L4+NFA_in_yen!N4)*100</f>
        <v>3.2462744821542779</v>
      </c>
      <c r="H5" s="7">
        <f>Balance_on_income!H5/NFA_in_yen!J4*100</f>
        <v>13.838180247624532</v>
      </c>
      <c r="I5" s="7">
        <f>Balance_on_income!I5/NFA_in_yen!K4*100</f>
        <v>0.63548102383053839</v>
      </c>
      <c r="J5" s="7">
        <f>Balance_on_income!J5/NFA_in_yen!L4*100</f>
        <v>5.2560276315348249</v>
      </c>
      <c r="K5" s="7">
        <f>Balance_on_income!K5/NFA_in_yen!N4*100</f>
        <v>3.2302946214722543</v>
      </c>
      <c r="M5" s="8">
        <v>1.7614618487114999</v>
      </c>
      <c r="N5" s="21"/>
      <c r="O5" s="8">
        <f t="shared" si="0"/>
        <v>2.6591543710751564</v>
      </c>
      <c r="P5" s="8">
        <f t="shared" si="1"/>
        <v>4.6406771891725596</v>
      </c>
      <c r="Q5" s="8">
        <f t="shared" si="2"/>
        <v>1.9384818007792015</v>
      </c>
      <c r="R5" s="8">
        <f t="shared" si="3"/>
        <v>5.0966240542640318</v>
      </c>
      <c r="S5" s="8">
        <f t="shared" si="4"/>
        <v>1.4567541171970122</v>
      </c>
      <c r="T5" s="8">
        <f t="shared" si="5"/>
        <v>1.4591109507155586</v>
      </c>
      <c r="U5" s="8">
        <f t="shared" si="6"/>
        <v>11.867673851686057</v>
      </c>
      <c r="V5" s="8">
        <f t="shared" si="7"/>
        <v>-1.1064904183029189</v>
      </c>
      <c r="W5" s="8">
        <f t="shared" si="8"/>
        <v>3.4340758469239452</v>
      </c>
      <c r="X5" s="8">
        <f t="shared" ref="X5:X21" si="14">((1+K5/100)/(1+M5/100)-1)*100</f>
        <v>1.4434076968592224</v>
      </c>
      <c r="Z5" s="8">
        <f t="shared" si="9"/>
        <v>1.2000434203595978</v>
      </c>
      <c r="AA5" s="8">
        <f t="shared" si="10"/>
        <v>-7.2269966625134971</v>
      </c>
      <c r="AB5" s="8">
        <f t="shared" ref="AB5:AB20" si="15">Q5-V5</f>
        <v>3.0449722190821205</v>
      </c>
      <c r="AC5" s="8">
        <f t="shared" ref="AC5:AC20" si="16">R5-W5</f>
        <v>1.6625482073400866</v>
      </c>
      <c r="AD5" s="8">
        <f t="shared" ref="AD5:AD20" si="17">S5-X5</f>
        <v>1.3346420337789766E-2</v>
      </c>
      <c r="AF5" s="8">
        <f>Balance_on_income!E5/(NFA_in_yen!E4+NFA_in_yen!H4)*100</f>
        <v>5.4668288069179845</v>
      </c>
      <c r="AG5" s="8">
        <f>Balance_on_income!J5/NFA_in_yen!L4*100</f>
        <v>5.2560276315348249</v>
      </c>
      <c r="AH5" s="8">
        <f t="shared" si="11"/>
        <v>3.6412281141511293</v>
      </c>
      <c r="AI5" s="8">
        <f t="shared" si="12"/>
        <v>3.4340758469239452</v>
      </c>
      <c r="AJ5" s="8">
        <f t="shared" si="13"/>
        <v>0.20715226722718416</v>
      </c>
    </row>
    <row r="6" spans="1:36">
      <c r="A6" s="11">
        <v>1998</v>
      </c>
      <c r="B6" s="7">
        <f>Balance_on_income!B6/SUM(NFA_in_yen!C5+NFA_in_yen!D5+NFA_in_yen!E5+NFA_in_yen!G5+NFA_in_yen!H5)*100</f>
        <v>3.7864899942477401</v>
      </c>
      <c r="C6" s="7">
        <f>Balance_on_income!C6/NFA_in_yen!C5*100</f>
        <v>4.5935925737250232</v>
      </c>
      <c r="D6" s="7">
        <f>Balance_on_income!D6/NFA_in_yen!D5*100</f>
        <v>3.6467167433971408</v>
      </c>
      <c r="E6" s="7">
        <f>Balance_on_income!E6/NFA_in_yen!E5*100</f>
        <v>6.1307064196603331</v>
      </c>
      <c r="F6" s="7">
        <f>Balance_on_income!F6/NFA_in_yen!G5*100</f>
        <v>2.8240003497136721</v>
      </c>
      <c r="G6" s="7">
        <f>Balance_on_income!G6/SUM(NFA_in_yen!J5+NFA_in_yen!K5+NFA_in_yen!L5+NFA_in_yen!N5)*100</f>
        <v>2.6906348095119803</v>
      </c>
      <c r="H6" s="7">
        <f>Balance_on_income!H6/NFA_in_yen!J5*100</f>
        <v>9.2441034384768397</v>
      </c>
      <c r="I6" s="7">
        <f>Balance_on_income!I6/NFA_in_yen!K5*100</f>
        <v>0.62021312021312025</v>
      </c>
      <c r="J6" s="7">
        <f>Balance_on_income!J6/NFA_in_yen!L5*100</f>
        <v>3.5520980899809484</v>
      </c>
      <c r="K6" s="7">
        <f>Balance_on_income!K6/NFA_in_yen!N5*100</f>
        <v>2.806157208959037</v>
      </c>
      <c r="M6" s="8">
        <v>0.66326943298518903</v>
      </c>
      <c r="N6" s="21"/>
      <c r="O6" s="8">
        <f t="shared" si="0"/>
        <v>3.1026416873354057</v>
      </c>
      <c r="P6" s="8">
        <f t="shared" si="1"/>
        <v>3.904426274726136</v>
      </c>
      <c r="Q6" s="8">
        <f t="shared" si="2"/>
        <v>2.9637894012553678</v>
      </c>
      <c r="R6" s="8">
        <f t="shared" si="3"/>
        <v>5.4314120904994212</v>
      </c>
      <c r="S6" s="8">
        <f t="shared" si="4"/>
        <v>2.1464938789485188</v>
      </c>
      <c r="T6" s="8">
        <f t="shared" si="5"/>
        <v>2.0140070831659918</v>
      </c>
      <c r="U6" s="8">
        <f t="shared" si="6"/>
        <v>8.5242949626270548</v>
      </c>
      <c r="V6" s="8">
        <f t="shared" si="7"/>
        <v>-4.2772615090480581E-2</v>
      </c>
      <c r="W6" s="8">
        <f t="shared" si="8"/>
        <v>2.8697941893482293</v>
      </c>
      <c r="X6" s="8">
        <f t="shared" si="14"/>
        <v>2.1287683064977969</v>
      </c>
      <c r="Z6" s="8">
        <f t="shared" si="9"/>
        <v>1.0886346041694139</v>
      </c>
      <c r="AA6" s="8">
        <f t="shared" si="10"/>
        <v>-4.6198686879009188</v>
      </c>
      <c r="AB6" s="8">
        <f t="shared" si="15"/>
        <v>3.0065620163458484</v>
      </c>
      <c r="AC6" s="8">
        <f t="shared" si="16"/>
        <v>2.5616179011511919</v>
      </c>
      <c r="AD6" s="8">
        <f t="shared" si="17"/>
        <v>1.7725572450721927E-2</v>
      </c>
      <c r="AF6" s="8">
        <f>Balance_on_income!E6/(NFA_in_yen!E5+NFA_in_yen!H5)*100</f>
        <v>4.7760125066422283</v>
      </c>
      <c r="AG6" s="8">
        <f>Balance_on_income!J6/NFA_in_yen!L5*100</f>
        <v>3.5520980899809484</v>
      </c>
      <c r="AH6" s="8">
        <f t="shared" si="11"/>
        <v>4.0856442442444685</v>
      </c>
      <c r="AI6" s="8">
        <f t="shared" si="12"/>
        <v>2.8697941893482293</v>
      </c>
      <c r="AJ6" s="8">
        <f t="shared" si="13"/>
        <v>1.2158500548962392</v>
      </c>
    </row>
    <row r="7" spans="1:36">
      <c r="A7" s="11">
        <v>1999</v>
      </c>
      <c r="B7" s="7">
        <f>Balance_on_income!B7/SUM(NFA_in_yen!C6+NFA_in_yen!D6+NFA_in_yen!E6+NFA_in_yen!G6+NFA_in_yen!H6)*100</f>
        <v>3.1154889526098493</v>
      </c>
      <c r="C7" s="7">
        <f>Balance_on_income!C7/NFA_in_yen!C6*100</f>
        <v>2.2539723218862124</v>
      </c>
      <c r="D7" s="7">
        <f>Balance_on_income!D7/NFA_in_yen!D6*100</f>
        <v>3.1747015326145331</v>
      </c>
      <c r="E7" s="7">
        <f>Balance_on_income!E7/NFA_in_yen!E6*100</f>
        <v>5.2900601856771612</v>
      </c>
      <c r="F7" s="7">
        <f>Balance_on_income!F7/NFA_in_yen!G6*100</f>
        <v>2.3137344970142397</v>
      </c>
      <c r="G7" s="7">
        <f>Balance_on_income!G7/SUM(NFA_in_yen!J6+NFA_in_yen!K6+NFA_in_yen!L6+NFA_in_yen!N6)*100</f>
        <v>1.9232038782337086</v>
      </c>
      <c r="H7" s="7">
        <f>Balance_on_income!H7/NFA_in_yen!J6*100</f>
        <v>8.934616661135081</v>
      </c>
      <c r="I7" s="7">
        <f>Balance_on_income!I7/NFA_in_yen!K6*100</f>
        <v>0.49752241285481047</v>
      </c>
      <c r="J7" s="7">
        <f>Balance_on_income!J7/NFA_in_yen!L6*100</f>
        <v>2.738224572076966</v>
      </c>
      <c r="K7" s="7">
        <f>Balance_on_income!K7/NFA_in_yen!N6*100</f>
        <v>1.8818752426556229</v>
      </c>
      <c r="M7" s="8">
        <v>-0.32944957814319398</v>
      </c>
      <c r="N7" s="21"/>
      <c r="O7" s="8">
        <f t="shared" si="0"/>
        <v>3.4563253801371596</v>
      </c>
      <c r="P7" s="8">
        <f t="shared" si="1"/>
        <v>2.5919611049553204</v>
      </c>
      <c r="Q7" s="8">
        <f t="shared" si="2"/>
        <v>3.5157336805369033</v>
      </c>
      <c r="R7" s="8">
        <f t="shared" si="3"/>
        <v>5.6380844091215687</v>
      </c>
      <c r="S7" s="8">
        <f t="shared" si="4"/>
        <v>2.6519208171020603</v>
      </c>
      <c r="T7" s="8">
        <f t="shared" si="5"/>
        <v>2.2600993441317607</v>
      </c>
      <c r="U7" s="8">
        <f t="shared" si="6"/>
        <v>9.2946875481955349</v>
      </c>
      <c r="V7" s="8">
        <f t="shared" si="7"/>
        <v>0.82970545210980795</v>
      </c>
      <c r="W7" s="8">
        <f t="shared" si="8"/>
        <v>3.0778139954442008</v>
      </c>
      <c r="X7" s="8">
        <f t="shared" si="14"/>
        <v>2.218634101486705</v>
      </c>
      <c r="Z7" s="8">
        <f t="shared" si="9"/>
        <v>1.1962260360053989</v>
      </c>
      <c r="AA7" s="8">
        <f t="shared" si="10"/>
        <v>-6.7027264432402145</v>
      </c>
      <c r="AB7" s="8">
        <f t="shared" si="15"/>
        <v>2.6860282284270953</v>
      </c>
      <c r="AC7" s="8">
        <f t="shared" si="16"/>
        <v>2.560270413677368</v>
      </c>
      <c r="AD7" s="8">
        <f t="shared" si="17"/>
        <v>0.43328671561535526</v>
      </c>
      <c r="AF7" s="8">
        <f>Balance_on_income!E7/(NFA_in_yen!E6+NFA_in_yen!H6)*100</f>
        <v>4.2655501460564755</v>
      </c>
      <c r="AG7" s="8">
        <f>Balance_on_income!J7/NFA_in_yen!L6*100</f>
        <v>2.738224572076966</v>
      </c>
      <c r="AH7" s="8">
        <f t="shared" si="11"/>
        <v>4.6101879690152003</v>
      </c>
      <c r="AI7" s="8">
        <f t="shared" si="12"/>
        <v>3.0778139954442008</v>
      </c>
      <c r="AJ7" s="8">
        <f t="shared" si="13"/>
        <v>1.5323739735709996</v>
      </c>
    </row>
    <row r="8" spans="1:36">
      <c r="A8" s="11">
        <v>2000</v>
      </c>
      <c r="B8" s="7">
        <f>Balance_on_income!B8/SUM(NFA_in_yen!C7+NFA_in_yen!D7+NFA_in_yen!E7+NFA_in_yen!G7+NFA_in_yen!H7)*100</f>
        <v>3.4448259824052725</v>
      </c>
      <c r="C8" s="7">
        <f>Balance_on_income!C8/NFA_in_yen!C7*100</f>
        <v>3.5024582104228124</v>
      </c>
      <c r="D8" s="7">
        <f>Balance_on_income!D8/NFA_in_yen!D7*100</f>
        <v>2.7240315392526568</v>
      </c>
      <c r="E8" s="7">
        <f>Balance_on_income!E8/NFA_in_yen!E7*100</f>
        <v>5.6710041163503</v>
      </c>
      <c r="F8" s="7">
        <f>Balance_on_income!F8/NFA_in_yen!G7*100</f>
        <v>2.5241752966188877</v>
      </c>
      <c r="G8" s="7">
        <f>Balance_on_income!G8/SUM(NFA_in_yen!J7+NFA_in_yen!K7+NFA_in_yen!L7+NFA_in_yen!N7)*100</f>
        <v>1.8017770701219789</v>
      </c>
      <c r="H8" s="7">
        <f>Balance_on_income!H8/NFA_in_yen!J7*100</f>
        <v>5.9961807765754296</v>
      </c>
      <c r="I8" s="7">
        <f>Balance_on_income!I8/NFA_in_yen!K7*100</f>
        <v>0.35728670599663565</v>
      </c>
      <c r="J8" s="7">
        <f>Balance_on_income!J8/NFA_in_yen!L7*100</f>
        <v>3.5155100359055864</v>
      </c>
      <c r="K8" s="7">
        <f>Balance_on_income!K8/NFA_in_yen!N7*100</f>
        <v>2.2620656421215837</v>
      </c>
      <c r="M8" s="8">
        <v>-0.65301515640115204</v>
      </c>
      <c r="N8" s="21"/>
      <c r="O8" s="8">
        <f t="shared" si="0"/>
        <v>4.1247765548774629</v>
      </c>
      <c r="P8" s="8">
        <f t="shared" si="1"/>
        <v>4.1827876038370793</v>
      </c>
      <c r="Q8" s="8">
        <f t="shared" si="2"/>
        <v>3.3992442759790409</v>
      </c>
      <c r="R8" s="8">
        <f t="shared" si="3"/>
        <v>6.365587524077676</v>
      </c>
      <c r="S8" s="8">
        <f t="shared" si="4"/>
        <v>3.1980743633255315</v>
      </c>
      <c r="T8" s="8">
        <f t="shared" si="5"/>
        <v>2.4709277592950274</v>
      </c>
      <c r="U8" s="8">
        <f t="shared" si="6"/>
        <v>6.6929015947935877</v>
      </c>
      <c r="V8" s="8">
        <f t="shared" si="7"/>
        <v>1.01694265204757</v>
      </c>
      <c r="W8" s="8">
        <f t="shared" si="8"/>
        <v>4.1959252199442298</v>
      </c>
      <c r="X8" s="8">
        <f t="shared" si="14"/>
        <v>2.9342418424795902</v>
      </c>
      <c r="Z8" s="8">
        <f t="shared" si="9"/>
        <v>1.6538487955824355</v>
      </c>
      <c r="AA8" s="8">
        <f t="shared" si="10"/>
        <v>-2.5101139909565084</v>
      </c>
      <c r="AB8" s="8">
        <f t="shared" si="15"/>
        <v>2.3823016239314709</v>
      </c>
      <c r="AC8" s="8">
        <f t="shared" si="16"/>
        <v>2.1696623041334462</v>
      </c>
      <c r="AD8" s="8">
        <f t="shared" si="17"/>
        <v>0.26383252084594133</v>
      </c>
      <c r="AF8" s="8">
        <f>Balance_on_income!E8/(NFA_in_yen!E7+NFA_in_yen!H7)*100</f>
        <v>4.4071985202704749</v>
      </c>
      <c r="AG8" s="8">
        <f>Balance_on_income!J8/NFA_in_yen!L7*100</f>
        <v>3.5155100359055864</v>
      </c>
      <c r="AH8" s="8">
        <f t="shared" si="11"/>
        <v>5.0934748393601126</v>
      </c>
      <c r="AI8" s="8">
        <f t="shared" si="12"/>
        <v>4.1959252199442298</v>
      </c>
      <c r="AJ8" s="8">
        <f t="shared" si="13"/>
        <v>0.89754961941588274</v>
      </c>
    </row>
    <row r="9" spans="1:36">
      <c r="A9" s="11">
        <v>2001</v>
      </c>
      <c r="B9" s="7">
        <f>Balance_on_income!B9/SUM(NFA_in_yen!C8+NFA_in_yen!D8+NFA_in_yen!E8+NFA_in_yen!G8+NFA_in_yen!H8)*100</f>
        <v>3.6642265092056037</v>
      </c>
      <c r="C9" s="7">
        <f>Balance_on_income!C9/NFA_in_yen!C8*100</f>
        <v>6.3910855499640551</v>
      </c>
      <c r="D9" s="7">
        <f>Balance_on_income!D9/NFA_in_yen!D8*100</f>
        <v>2.9104304251153219</v>
      </c>
      <c r="E9" s="7">
        <f>Balance_on_income!E9/NFA_in_yen!E8*100</f>
        <v>5.6560150689270055</v>
      </c>
      <c r="F9" s="7">
        <f>Balance_on_income!F9/NFA_in_yen!G8*100</f>
        <v>2.3718216634396403</v>
      </c>
      <c r="G9" s="7">
        <f>Balance_on_income!G9/SUM(NFA_in_yen!J8+NFA_in_yen!K8+NFA_in_yen!L8+NFA_in_yen!N8)*100</f>
        <v>1.9648400090474656</v>
      </c>
      <c r="H9" s="7">
        <f>Balance_on_income!H9/NFA_in_yen!J8*100</f>
        <v>8.6700103770321704</v>
      </c>
      <c r="I9" s="7">
        <f>Balance_on_income!I9/NFA_in_yen!K8*100</f>
        <v>0.51406156084907151</v>
      </c>
      <c r="J9" s="7">
        <f>Balance_on_income!J9/NFA_in_yen!L8*100</f>
        <v>2.8955115012894992</v>
      </c>
      <c r="K9" s="7">
        <f>Balance_on_income!K9/NFA_in_yen!N8*100</f>
        <v>2.1364116252664291</v>
      </c>
      <c r="M9" s="8">
        <v>-0.80337580134707898</v>
      </c>
      <c r="N9" s="21"/>
      <c r="O9" s="8">
        <f t="shared" si="0"/>
        <v>4.5037846263858539</v>
      </c>
      <c r="P9" s="8">
        <f t="shared" si="1"/>
        <v>7.2527280131059468</v>
      </c>
      <c r="Q9" s="8">
        <f t="shared" si="2"/>
        <v>3.7438836819941201</v>
      </c>
      <c r="R9" s="8">
        <f t="shared" si="3"/>
        <v>6.5117043270932262</v>
      </c>
      <c r="S9" s="8">
        <f t="shared" si="4"/>
        <v>3.2009128238356332</v>
      </c>
      <c r="T9" s="8">
        <f t="shared" si="5"/>
        <v>2.7906350974715277</v>
      </c>
      <c r="U9" s="8">
        <f t="shared" si="6"/>
        <v>9.5501094466760037</v>
      </c>
      <c r="V9" s="8">
        <f t="shared" si="7"/>
        <v>1.3281070528749384</v>
      </c>
      <c r="W9" s="8">
        <f t="shared" si="8"/>
        <v>3.7288439324599798</v>
      </c>
      <c r="X9" s="8">
        <f t="shared" si="14"/>
        <v>2.9635962416687089</v>
      </c>
      <c r="Z9" s="8">
        <f t="shared" si="9"/>
        <v>1.7131495289143261</v>
      </c>
      <c r="AA9" s="8">
        <f t="shared" si="10"/>
        <v>-2.2973814335700569</v>
      </c>
      <c r="AB9" s="8">
        <f t="shared" si="15"/>
        <v>2.4157766291191818</v>
      </c>
      <c r="AC9" s="8">
        <f t="shared" si="16"/>
        <v>2.7828603946332464</v>
      </c>
      <c r="AD9" s="8">
        <f t="shared" si="17"/>
        <v>0.23731658216692431</v>
      </c>
      <c r="AF9" s="8">
        <f>Balance_on_income!E9/(NFA_in_yen!E8+NFA_in_yen!H8)*100</f>
        <v>4.203022420413725</v>
      </c>
      <c r="AG9" s="8">
        <f>Balance_on_income!J9/NFA_in_yen!L8*100</f>
        <v>2.8955115012894992</v>
      </c>
      <c r="AH9" s="8">
        <f t="shared" si="11"/>
        <v>5.0469441497675405</v>
      </c>
      <c r="AI9" s="8">
        <f t="shared" si="12"/>
        <v>3.7288439324599798</v>
      </c>
      <c r="AJ9" s="8">
        <f t="shared" si="13"/>
        <v>1.3181002173075607</v>
      </c>
    </row>
    <row r="10" spans="1:36">
      <c r="A10" s="11">
        <v>2002</v>
      </c>
      <c r="B10" s="7">
        <f>Balance_on_income!B10/SUM(NFA_in_yen!C9+NFA_in_yen!D9+NFA_in_yen!E9+NFA_in_yen!G9+NFA_in_yen!H9)*100</f>
        <v>3.0214082754766913</v>
      </c>
      <c r="C10" s="7">
        <f>Balance_on_income!C10/NFA_in_yen!C9*100</f>
        <v>5.3267602073062825</v>
      </c>
      <c r="D10" s="7">
        <f>Balance_on_income!D10/NFA_in_yen!D9*100</f>
        <v>3.5588186217253468</v>
      </c>
      <c r="E10" s="7">
        <f>Balance_on_income!E10/NFA_in_yen!E9*100</f>
        <v>4.6489555436529191</v>
      </c>
      <c r="F10" s="7">
        <f>Balance_on_income!F10/NFA_in_yen!G9*100</f>
        <v>1.5202145743108766</v>
      </c>
      <c r="G10" s="7">
        <f>Balance_on_income!G10/SUM(NFA_in_yen!J9+NFA_in_yen!K9+NFA_in_yen!L9+NFA_in_yen!N9)*100</f>
        <v>1.5923461813383186</v>
      </c>
      <c r="H10" s="7">
        <f>Balance_on_income!H10/NFA_in_yen!J9*100</f>
        <v>9.9969843184559721</v>
      </c>
      <c r="I10" s="7">
        <f>Balance_on_income!I10/NFA_in_yen!K9*100</f>
        <v>0.62647539495187943</v>
      </c>
      <c r="J10" s="7">
        <f>Balance_on_income!J10/NFA_in_yen!L9*100</f>
        <v>2.4093325303097752</v>
      </c>
      <c r="K10" s="7">
        <f>Balance_on_income!K10/NFA_in_yen!N9*100</f>
        <v>1.2226396525129408</v>
      </c>
      <c r="M10" s="8">
        <v>-0.89967826042920995</v>
      </c>
      <c r="N10" s="21"/>
      <c r="O10" s="8">
        <f t="shared" si="0"/>
        <v>3.9566839613399907</v>
      </c>
      <c r="P10" s="8">
        <f t="shared" si="1"/>
        <v>6.2829649373875807</v>
      </c>
      <c r="Q10" s="8">
        <f t="shared" si="2"/>
        <v>4.4989731656686294</v>
      </c>
      <c r="R10" s="8">
        <f t="shared" si="3"/>
        <v>5.5990068515252567</v>
      </c>
      <c r="S10" s="8">
        <f t="shared" si="4"/>
        <v>2.4418617339098336</v>
      </c>
      <c r="T10" s="8">
        <f t="shared" si="5"/>
        <v>2.5146481848125735</v>
      </c>
      <c r="U10" s="8">
        <f t="shared" si="6"/>
        <v>10.995587489131363</v>
      </c>
      <c r="V10" s="8">
        <f t="shared" si="7"/>
        <v>1.5400087795796713</v>
      </c>
      <c r="W10" s="8">
        <f t="shared" si="8"/>
        <v>3.3390515112905916</v>
      </c>
      <c r="X10" s="8">
        <f t="shared" si="14"/>
        <v>2.1415852902268773</v>
      </c>
      <c r="Z10" s="8">
        <f t="shared" si="9"/>
        <v>1.4420357765274172</v>
      </c>
      <c r="AA10" s="8">
        <f t="shared" si="10"/>
        <v>-4.7126225517437828</v>
      </c>
      <c r="AB10" s="8">
        <f t="shared" si="15"/>
        <v>2.9589643860889581</v>
      </c>
      <c r="AC10" s="8">
        <f t="shared" si="16"/>
        <v>2.259955340234665</v>
      </c>
      <c r="AD10" s="8">
        <f t="shared" si="17"/>
        <v>0.30027644368295636</v>
      </c>
      <c r="AF10" s="8">
        <f>Balance_on_income!E10/(NFA_in_yen!E9+NFA_in_yen!H9)*100</f>
        <v>3.3764529531061167</v>
      </c>
      <c r="AG10" s="8">
        <f>Balance_on_income!J10/NFA_in_yen!L9*100</f>
        <v>2.4093325303097752</v>
      </c>
      <c r="AH10" s="8">
        <f t="shared" si="11"/>
        <v>4.3149518977069645</v>
      </c>
      <c r="AI10" s="8">
        <f t="shared" si="12"/>
        <v>3.3390515112905916</v>
      </c>
      <c r="AJ10" s="8">
        <f t="shared" si="13"/>
        <v>0.97590038641637289</v>
      </c>
    </row>
    <row r="11" spans="1:36">
      <c r="A11" s="11">
        <v>2003</v>
      </c>
      <c r="B11" s="7">
        <f>Balance_on_income!B11/SUM(NFA_in_yen!C10+NFA_in_yen!D10+NFA_in_yen!E10+NFA_in_yen!G10+NFA_in_yen!H10)*100</f>
        <v>3.0202223583997196</v>
      </c>
      <c r="C11" s="7">
        <f>Balance_on_income!C11/NFA_in_yen!C10*100</f>
        <v>4.188552003947585</v>
      </c>
      <c r="D11" s="7">
        <f>Balance_on_income!D11/NFA_in_yen!D10*100</f>
        <v>4.7288048423467979</v>
      </c>
      <c r="E11" s="7">
        <f>Balance_on_income!E11/NFA_in_yen!E10*100</f>
        <v>4.7832673364993017</v>
      </c>
      <c r="F11" s="7">
        <f>Balance_on_income!F11/NFA_in_yen!G10*100</f>
        <v>1.4444381427707198</v>
      </c>
      <c r="G11" s="7">
        <f>Balance_on_income!G11/SUM(NFA_in_yen!J10+NFA_in_yen!K10+NFA_in_yen!L10+NFA_in_yen!N10)*100</f>
        <v>1.4434816442850684</v>
      </c>
      <c r="H11" s="7">
        <f>Balance_on_income!H11/NFA_in_yen!J10*100</f>
        <v>6.2429288077703058</v>
      </c>
      <c r="I11" s="7">
        <f>Balance_on_income!I11/NFA_in_yen!K10*100</f>
        <v>0.95713619746301248</v>
      </c>
      <c r="J11" s="7">
        <f>Balance_on_income!J11/NFA_in_yen!L10*100</f>
        <v>2.3846817957572766</v>
      </c>
      <c r="K11" s="7">
        <f>Balance_on_income!K11/NFA_in_yen!N10*100</f>
        <v>0.92624595830081391</v>
      </c>
      <c r="M11" s="8">
        <v>-0.247839455387176</v>
      </c>
      <c r="N11" s="21"/>
      <c r="O11" s="8">
        <f t="shared" si="0"/>
        <v>3.2761814841346659</v>
      </c>
      <c r="P11" s="8">
        <f t="shared" si="1"/>
        <v>4.4474139057375517</v>
      </c>
      <c r="Q11" s="8">
        <f t="shared" si="2"/>
        <v>4.989009030544489</v>
      </c>
      <c r="R11" s="8">
        <f t="shared" si="3"/>
        <v>5.0436068396096267</v>
      </c>
      <c r="S11" s="8">
        <f t="shared" si="4"/>
        <v>1.6964821502798877</v>
      </c>
      <c r="T11" s="8">
        <f t="shared" si="5"/>
        <v>1.6955232753237848</v>
      </c>
      <c r="U11" s="8">
        <f t="shared" si="6"/>
        <v>6.5068949160801193</v>
      </c>
      <c r="V11" s="8">
        <f t="shared" si="7"/>
        <v>1.2079694778252659</v>
      </c>
      <c r="W11" s="8">
        <f t="shared" si="8"/>
        <v>2.6390618877544014</v>
      </c>
      <c r="X11" s="8">
        <f t="shared" si="14"/>
        <v>1.1770024902497234</v>
      </c>
      <c r="Z11" s="8">
        <f t="shared" si="9"/>
        <v>1.5806582088108811</v>
      </c>
      <c r="AA11" s="8">
        <f t="shared" si="10"/>
        <v>-2.0594810103425676</v>
      </c>
      <c r="AB11" s="8">
        <f t="shared" si="15"/>
        <v>3.7810395527192231</v>
      </c>
      <c r="AC11" s="8">
        <f t="shared" si="16"/>
        <v>2.4045449518552253</v>
      </c>
      <c r="AD11" s="8">
        <f t="shared" si="17"/>
        <v>0.51947966003016433</v>
      </c>
      <c r="AF11" s="8">
        <f>Balance_on_income!E11/(NFA_in_yen!E10+NFA_in_yen!H10)*100</f>
        <v>3.4288268540171427</v>
      </c>
      <c r="AG11" s="8">
        <f>Balance_on_income!J11/NFA_in_yen!L10*100</f>
        <v>2.3846817957572766</v>
      </c>
      <c r="AH11" s="8">
        <f t="shared" si="11"/>
        <v>3.6858011789729472</v>
      </c>
      <c r="AI11" s="8">
        <f t="shared" si="12"/>
        <v>2.6390618877544014</v>
      </c>
      <c r="AJ11" s="8">
        <f t="shared" si="13"/>
        <v>1.0467392912185458</v>
      </c>
    </row>
    <row r="12" spans="1:36">
      <c r="A12" s="11">
        <v>2004</v>
      </c>
      <c r="B12" s="7">
        <f>Balance_on_income!B12/SUM(NFA_in_yen!C11+NFA_in_yen!D11+NFA_in_yen!E11+NFA_in_yen!G11+NFA_in_yen!H11)*100</f>
        <v>3.1798147075553294</v>
      </c>
      <c r="C12" s="7">
        <f>Balance_on_income!C12/NFA_in_yen!C11*100</f>
        <v>5.7177446287431817</v>
      </c>
      <c r="D12" s="7">
        <f>Balance_on_income!D12/NFA_in_yen!D11*100</f>
        <v>5.0483091787439616</v>
      </c>
      <c r="E12" s="7">
        <f>Balance_on_income!E12/NFA_in_yen!E11*100</f>
        <v>4.7184739189075824</v>
      </c>
      <c r="F12" s="7">
        <f>Balance_on_income!F12/NFA_in_yen!G11*100</f>
        <v>1.503157213017432</v>
      </c>
      <c r="G12" s="7">
        <f>Balance_on_income!G12/SUM(NFA_in_yen!J11+NFA_in_yen!K11+NFA_in_yen!L11+NFA_in_yen!N11)*100</f>
        <v>1.394763034628502</v>
      </c>
      <c r="H12" s="7">
        <f>Balance_on_income!H12/NFA_in_yen!J11*100</f>
        <v>7.1498439125910513</v>
      </c>
      <c r="I12" s="7">
        <f>Balance_on_income!I12/NFA_in_yen!K11*100</f>
        <v>1.0819672131147542</v>
      </c>
      <c r="J12" s="7">
        <f>Balance_on_income!J12/NFA_in_yen!L11*100</f>
        <v>2.1794558984994512</v>
      </c>
      <c r="K12" s="7">
        <f>Balance_on_income!K12/NFA_in_yen!N11*100</f>
        <v>0.8264085471646424</v>
      </c>
      <c r="M12" s="8">
        <v>-8.2754054945362292E-3</v>
      </c>
      <c r="N12" s="21"/>
      <c r="O12" s="8">
        <f t="shared" si="0"/>
        <v>3.1883539622688417</v>
      </c>
      <c r="P12" s="8">
        <f t="shared" si="1"/>
        <v>5.7264939248306002</v>
      </c>
      <c r="Q12" s="8">
        <f t="shared" si="2"/>
        <v>5.057003071748567</v>
      </c>
      <c r="R12" s="8">
        <f t="shared" si="3"/>
        <v>4.7271405144479806</v>
      </c>
      <c r="S12" s="8">
        <f t="shared" si="4"/>
        <v>1.5115577060414331</v>
      </c>
      <c r="T12" s="8">
        <f t="shared" si="5"/>
        <v>1.4031545568523374</v>
      </c>
      <c r="U12" s="8">
        <f t="shared" si="6"/>
        <v>7.1587117305094816</v>
      </c>
      <c r="V12" s="8">
        <f t="shared" si="7"/>
        <v>1.0903328480737162</v>
      </c>
      <c r="W12" s="8">
        <f t="shared" si="8"/>
        <v>2.1879123626138641</v>
      </c>
      <c r="X12" s="8">
        <f t="shared" si="14"/>
        <v>0.8347530318574492</v>
      </c>
      <c r="Z12" s="8">
        <f t="shared" si="9"/>
        <v>1.7851994054165043</v>
      </c>
      <c r="AA12" s="8">
        <f t="shared" si="10"/>
        <v>-1.4322178056788815</v>
      </c>
      <c r="AB12" s="8">
        <f t="shared" si="15"/>
        <v>3.9666702236748508</v>
      </c>
      <c r="AC12" s="8">
        <f t="shared" si="16"/>
        <v>2.5392281518341164</v>
      </c>
      <c r="AD12" s="8">
        <f t="shared" si="17"/>
        <v>0.67680467418398393</v>
      </c>
      <c r="AF12" s="8">
        <f>Balance_on_income!E12/(NFA_in_yen!E11+NFA_in_yen!H11)*100</f>
        <v>3.220417367711701</v>
      </c>
      <c r="AG12" s="8">
        <f>Balance_on_income!J12/NFA_in_yen!L11*100</f>
        <v>2.1794558984994512</v>
      </c>
      <c r="AH12" s="8">
        <f t="shared" si="11"/>
        <v>3.2289599827380666</v>
      </c>
      <c r="AI12" s="8">
        <f t="shared" si="12"/>
        <v>2.1879123626138641</v>
      </c>
      <c r="AJ12" s="8">
        <f t="shared" si="13"/>
        <v>1.0410476201242025</v>
      </c>
    </row>
    <row r="13" spans="1:36">
      <c r="A13" s="11">
        <v>2005</v>
      </c>
      <c r="B13" s="7">
        <f>Balance_on_income!B13/SUM(NFA_in_yen!C12+NFA_in_yen!D12+NFA_in_yen!E12+NFA_in_yen!G12+NFA_in_yen!H12)*100</f>
        <v>3.5912580262471558</v>
      </c>
      <c r="C13" s="7">
        <f>Balance_on_income!C13/NFA_in_yen!C12*100</f>
        <v>8.6840672870065578</v>
      </c>
      <c r="D13" s="7">
        <f>Balance_on_income!D13/NFA_in_yen!D12*100</f>
        <v>5.4782471294638144</v>
      </c>
      <c r="E13" s="7">
        <f>Balance_on_income!E13/NFA_in_yen!E12*100</f>
        <v>4.9288571011531159</v>
      </c>
      <c r="F13" s="7">
        <f>Balance_on_income!F13/NFA_in_yen!G12*100</f>
        <v>1.7266010356331483</v>
      </c>
      <c r="G13" s="7">
        <f>Balance_on_income!G13/SUM(NFA_in_yen!J12+NFA_in_yen!K12+NFA_in_yen!L12+NFA_in_yen!N12)*100</f>
        <v>1.6705676544669683</v>
      </c>
      <c r="H13" s="7">
        <f>Balance_on_income!H13/NFA_in_yen!J12*100</f>
        <v>10.339671222024162</v>
      </c>
      <c r="I13" s="7">
        <f>Balance_on_income!I13/NFA_in_yen!K12*100</f>
        <v>1.4275192846898297</v>
      </c>
      <c r="J13" s="7">
        <f>Balance_on_income!J13/NFA_in_yen!L12*100</f>
        <v>1.8016815382093254</v>
      </c>
      <c r="K13" s="7">
        <f>Balance_on_income!K13/NFA_in_yen!N12*100</f>
        <v>1.0339511459796498</v>
      </c>
      <c r="M13" s="8">
        <v>-0.27311098237193399</v>
      </c>
      <c r="N13" s="21"/>
      <c r="O13" s="8">
        <f t="shared" si="0"/>
        <v>3.87495192789582</v>
      </c>
      <c r="P13" s="8">
        <f t="shared" si="1"/>
        <v>8.9817083011535459</v>
      </c>
      <c r="Q13" s="8">
        <f t="shared" si="2"/>
        <v>5.7671087191129677</v>
      </c>
      <c r="R13" s="8">
        <f t="shared" si="3"/>
        <v>5.2162141371977722</v>
      </c>
      <c r="S13" s="8">
        <f t="shared" si="4"/>
        <v>2.0051884077639581</v>
      </c>
      <c r="T13" s="8">
        <f t="shared" si="5"/>
        <v>1.9490015741846056</v>
      </c>
      <c r="U13" s="8">
        <f t="shared" si="6"/>
        <v>10.641846255246335</v>
      </c>
      <c r="V13" s="8">
        <f t="shared" si="7"/>
        <v>1.7052875947640933</v>
      </c>
      <c r="W13" s="8">
        <f t="shared" si="8"/>
        <v>2.0804745249944689</v>
      </c>
      <c r="X13" s="8">
        <f t="shared" si="14"/>
        <v>1.3106416345951999</v>
      </c>
      <c r="Z13" s="8">
        <f t="shared" si="9"/>
        <v>1.9259503537112144</v>
      </c>
      <c r="AA13" s="8">
        <f t="shared" si="10"/>
        <v>-1.6601379540927894</v>
      </c>
      <c r="AB13" s="8">
        <f t="shared" si="15"/>
        <v>4.0618211243488744</v>
      </c>
      <c r="AC13" s="8">
        <f t="shared" si="16"/>
        <v>3.1357396122033032</v>
      </c>
      <c r="AD13" s="8">
        <f t="shared" si="17"/>
        <v>0.69454677316875824</v>
      </c>
      <c r="AF13" s="8">
        <f>Balance_on_income!E13/(NFA_in_yen!E12+NFA_in_yen!H12)*100</f>
        <v>3.2594837738180273</v>
      </c>
      <c r="AG13" s="8">
        <f>Balance_on_income!J13/NFA_in_yen!L12*100</f>
        <v>1.8016815382093254</v>
      </c>
      <c r="AH13" s="8">
        <f t="shared" si="11"/>
        <v>3.5422690820782865</v>
      </c>
      <c r="AI13" s="8">
        <f t="shared" si="12"/>
        <v>2.0804745249944689</v>
      </c>
      <c r="AJ13" s="8">
        <f t="shared" si="13"/>
        <v>1.4617945570838176</v>
      </c>
    </row>
    <row r="14" spans="1:36">
      <c r="A14" s="11">
        <v>2006</v>
      </c>
      <c r="B14" s="7">
        <f>Balance_on_income!B14/SUM(NFA_in_yen!C13+NFA_in_yen!D13+NFA_in_yen!E13+NFA_in_yen!G13+NFA_in_yen!H13)*100</f>
        <v>3.8424566725039604</v>
      </c>
      <c r="C14" s="7">
        <f>Balance_on_income!C14/NFA_in_yen!C13*100</f>
        <v>8.9523078609801541</v>
      </c>
      <c r="D14" s="7">
        <f>Balance_on_income!D14/NFA_in_yen!D13*100</f>
        <v>5.6139004149377589</v>
      </c>
      <c r="E14" s="7">
        <f>Balance_on_income!E14/NFA_in_yen!E13*100</f>
        <v>5.1185827694814545</v>
      </c>
      <c r="F14" s="7">
        <f>Balance_on_income!F14/NFA_in_yen!G13*100</f>
        <v>2.0626658313679247</v>
      </c>
      <c r="G14" s="7">
        <f>Balance_on_income!G14/SUM(NFA_in_yen!J13+NFA_in_yen!K13+NFA_in_yen!L13+NFA_in_yen!N13)*100</f>
        <v>1.7155464889557825</v>
      </c>
      <c r="H14" s="7">
        <f>Balance_on_income!H14/NFA_in_yen!J13*100</f>
        <v>8.8112240611610524</v>
      </c>
      <c r="I14" s="7">
        <f>Balance_on_income!I14/NFA_in_yen!K13*100</f>
        <v>1.2112133210882101</v>
      </c>
      <c r="J14" s="7">
        <f>Balance_on_income!J14/NFA_in_yen!L13*100</f>
        <v>1.7197711586619706</v>
      </c>
      <c r="K14" s="7">
        <f>Balance_on_income!K14/NFA_in_yen!N13*100</f>
        <v>1.5771793687210771</v>
      </c>
      <c r="M14" s="8">
        <v>0.24066390041427599</v>
      </c>
      <c r="N14" s="21"/>
      <c r="O14" s="8">
        <f t="shared" si="0"/>
        <v>3.593145368298778</v>
      </c>
      <c r="P14" s="8">
        <f t="shared" si="1"/>
        <v>8.6907285143488231</v>
      </c>
      <c r="Q14" s="8">
        <f t="shared" si="2"/>
        <v>5.3603361205404765</v>
      </c>
      <c r="R14" s="8">
        <f t="shared" si="3"/>
        <v>4.8662076639009566</v>
      </c>
      <c r="S14" s="8">
        <f t="shared" si="4"/>
        <v>1.8176275575785494</v>
      </c>
      <c r="T14" s="8">
        <f t="shared" si="5"/>
        <v>1.4713416004574098</v>
      </c>
      <c r="U14" s="8">
        <f t="shared" si="6"/>
        <v>8.5499834371222327</v>
      </c>
      <c r="V14" s="8">
        <f t="shared" si="7"/>
        <v>0.96821926642278733</v>
      </c>
      <c r="W14" s="8">
        <f t="shared" si="8"/>
        <v>1.4755561273188889</v>
      </c>
      <c r="X14" s="8">
        <f t="shared" si="14"/>
        <v>1.3333066804451565</v>
      </c>
      <c r="Z14" s="8">
        <f t="shared" si="9"/>
        <v>2.1218037678413681</v>
      </c>
      <c r="AA14" s="8">
        <f t="shared" si="10"/>
        <v>0.14074507722659035</v>
      </c>
      <c r="AB14" s="8">
        <f t="shared" si="15"/>
        <v>4.3921168541176892</v>
      </c>
      <c r="AC14" s="8">
        <f t="shared" si="16"/>
        <v>3.3906515365820677</v>
      </c>
      <c r="AD14" s="8">
        <f t="shared" si="17"/>
        <v>0.48432087713339289</v>
      </c>
      <c r="AF14" s="8">
        <f>Balance_on_income!E14/(NFA_in_yen!E13+NFA_in_yen!H13)*100</f>
        <v>3.4260386116819288</v>
      </c>
      <c r="AG14" s="8">
        <f>Balance_on_income!J14/NFA_in_yen!L13*100</f>
        <v>1.7197711586619706</v>
      </c>
      <c r="AH14" s="8">
        <f t="shared" si="11"/>
        <v>3.1777270693580162</v>
      </c>
      <c r="AI14" s="8">
        <f t="shared" si="12"/>
        <v>1.4755561273188889</v>
      </c>
      <c r="AJ14" s="8">
        <f t="shared" si="13"/>
        <v>1.7021709420391273</v>
      </c>
    </row>
    <row r="15" spans="1:36">
      <c r="A15" s="11">
        <v>2007</v>
      </c>
      <c r="B15" s="7">
        <f>Balance_on_income!B15/SUM(NFA_in_yen!C14+NFA_in_yen!D14+NFA_in_yen!E14+NFA_in_yen!G14+NFA_in_yen!H14)*100</f>
        <v>4.2516646679847154</v>
      </c>
      <c r="C15" s="7">
        <f>Balance_on_income!C15/NFA_in_yen!C14*100</f>
        <v>9.9281920861694957</v>
      </c>
      <c r="D15" s="7">
        <f>Balance_on_income!D15/NFA_in_yen!D14*100</f>
        <v>5.5402378364133478</v>
      </c>
      <c r="E15" s="7">
        <f>Balance_on_income!E15/NFA_in_yen!E14*100</f>
        <v>5.50226331503419</v>
      </c>
      <c r="F15" s="7">
        <f>Balance_on_income!F15/NFA_in_yen!G14*100</f>
        <v>2.5211228984215666</v>
      </c>
      <c r="G15" s="7">
        <f>Balance_on_income!G15/SUM(NFA_in_yen!J14+NFA_in_yen!K14+NFA_in_yen!L14+NFA_in_yen!N14)*100</f>
        <v>2.1030117518125602</v>
      </c>
      <c r="H15" s="7">
        <f>Balance_on_income!H15/NFA_in_yen!J14*100</f>
        <v>13.619464188080919</v>
      </c>
      <c r="I15" s="7">
        <f>Balance_on_income!I15/NFA_in_yen!K14*100</f>
        <v>1.3610268159193983</v>
      </c>
      <c r="J15" s="7">
        <f>Balance_on_income!J15/NFA_in_yen!L14*100</f>
        <v>1.7838759330674125</v>
      </c>
      <c r="K15" s="7">
        <f>Balance_on_income!K15/NFA_in_yen!N14*100</f>
        <v>1.9541979510509839</v>
      </c>
      <c r="M15" s="8">
        <v>5.7951817204070298E-2</v>
      </c>
      <c r="N15" s="21"/>
      <c r="O15" s="8">
        <f t="shared" si="0"/>
        <v>4.1912839255815904</v>
      </c>
      <c r="P15" s="8">
        <f t="shared" si="1"/>
        <v>9.8645235982816928</v>
      </c>
      <c r="Q15" s="8">
        <f t="shared" si="2"/>
        <v>5.4791107749485812</v>
      </c>
      <c r="R15" s="8">
        <f t="shared" si="3"/>
        <v>5.4411582477486009</v>
      </c>
      <c r="S15" s="8">
        <f t="shared" si="4"/>
        <v>2.4617444555705692</v>
      </c>
      <c r="T15" s="8">
        <f t="shared" si="5"/>
        <v>2.0438754716312957</v>
      </c>
      <c r="U15" s="8">
        <f t="shared" si="6"/>
        <v>13.553657779895767</v>
      </c>
      <c r="V15" s="8">
        <f t="shared" si="7"/>
        <v>1.3023202804470113</v>
      </c>
      <c r="W15" s="8">
        <f t="shared" si="8"/>
        <v>1.7249244907755479</v>
      </c>
      <c r="X15" s="8">
        <f t="shared" si="14"/>
        <v>1.8951478612226236</v>
      </c>
      <c r="Z15" s="8">
        <f t="shared" si="9"/>
        <v>2.1474084539502947</v>
      </c>
      <c r="AA15" s="8">
        <f t="shared" si="10"/>
        <v>-3.6891341816140741</v>
      </c>
      <c r="AB15" s="8">
        <f t="shared" si="15"/>
        <v>4.1767904945015699</v>
      </c>
      <c r="AC15" s="8">
        <f t="shared" si="16"/>
        <v>3.716233756973053</v>
      </c>
      <c r="AD15" s="8">
        <f t="shared" si="17"/>
        <v>0.56659659434794563</v>
      </c>
      <c r="AF15" s="8">
        <f>Balance_on_income!E15/(NFA_in_yen!E14+NFA_in_yen!H14)*100</f>
        <v>3.6974155412693617</v>
      </c>
      <c r="AG15" s="8">
        <f>Balance_on_income!J15/NFA_in_yen!L14*100</f>
        <v>1.7838759330674125</v>
      </c>
      <c r="AH15" s="8">
        <f t="shared" si="11"/>
        <v>3.6373558102750669</v>
      </c>
      <c r="AI15" s="8">
        <f t="shared" si="12"/>
        <v>1.7249244907755479</v>
      </c>
      <c r="AJ15" s="8">
        <f t="shared" si="13"/>
        <v>1.9124313194995191</v>
      </c>
    </row>
    <row r="16" spans="1:36">
      <c r="A16" s="11">
        <v>2008</v>
      </c>
      <c r="B16" s="7">
        <f>Balance_on_income!B16/SUM(NFA_in_yen!C15+NFA_in_yen!D15+NFA_in_yen!E15+NFA_in_yen!G15+NFA_in_yen!H15)*100</f>
        <v>3.6713906915424608</v>
      </c>
      <c r="C16" s="7">
        <f>Balance_on_income!C16/NFA_in_yen!C15*100</f>
        <v>8.1378318083352195</v>
      </c>
      <c r="D16" s="7">
        <f>Balance_on_income!D16/NFA_in_yen!D15*100</f>
        <v>5.0451235927557514</v>
      </c>
      <c r="E16" s="7">
        <f>Balance_on_income!E16/NFA_in_yen!E15*100</f>
        <v>5.0529663399471909</v>
      </c>
      <c r="F16" s="7">
        <f>Balance_on_income!F16/NFA_in_yen!G15*100</f>
        <v>1.8361862036422822</v>
      </c>
      <c r="G16" s="7">
        <f>Balance_on_income!G16/SUM(NFA_in_yen!J15+NFA_in_yen!K15+NFA_in_yen!L15+NFA_in_yen!N15)*100</f>
        <v>1.723781754318813</v>
      </c>
      <c r="H16" s="7">
        <f>Balance_on_income!H16/NFA_in_yen!J15*100</f>
        <v>8.0713106635853418</v>
      </c>
      <c r="I16" s="7">
        <f>Balance_on_income!I16/NFA_in_yen!K15*100</f>
        <v>1.4985460920503271</v>
      </c>
      <c r="J16" s="7">
        <f>Balance_on_income!J16/NFA_in_yen!L15*100</f>
        <v>1.3534534836890859</v>
      </c>
      <c r="K16" s="7">
        <f>Balance_on_income!K16/NFA_in_yen!N15*100</f>
        <v>1.4312317778114836</v>
      </c>
      <c r="M16" s="8">
        <v>1.3734899884159999</v>
      </c>
      <c r="N16" s="21"/>
      <c r="O16" s="8">
        <f t="shared" si="0"/>
        <v>2.266766886874505</v>
      </c>
      <c r="P16" s="8">
        <f t="shared" si="1"/>
        <v>6.6726930489343861</v>
      </c>
      <c r="Q16" s="8">
        <f t="shared" si="2"/>
        <v>3.6218873442744437</v>
      </c>
      <c r="R16" s="8">
        <f t="shared" si="3"/>
        <v>3.6296238315871809</v>
      </c>
      <c r="S16" s="8">
        <f t="shared" si="4"/>
        <v>0.45642723287828701</v>
      </c>
      <c r="T16" s="8">
        <f t="shared" si="5"/>
        <v>0.34554572989728971</v>
      </c>
      <c r="U16" s="8">
        <f t="shared" si="6"/>
        <v>6.6070731864264598</v>
      </c>
      <c r="V16" s="8">
        <f t="shared" si="7"/>
        <v>0.12336174245222153</v>
      </c>
      <c r="W16" s="8">
        <f t="shared" si="8"/>
        <v>-1.9765033964203038E-2</v>
      </c>
      <c r="X16" s="8">
        <f t="shared" si="14"/>
        <v>5.695945695671778E-2</v>
      </c>
      <c r="Z16" s="8">
        <f t="shared" si="9"/>
        <v>1.9212211569772153</v>
      </c>
      <c r="AA16" s="8">
        <f t="shared" si="10"/>
        <v>6.5619862507926285E-2</v>
      </c>
      <c r="AB16" s="8">
        <f t="shared" si="15"/>
        <v>3.4985256018222222</v>
      </c>
      <c r="AC16" s="8">
        <f t="shared" si="16"/>
        <v>3.649388865551384</v>
      </c>
      <c r="AD16" s="8">
        <f t="shared" si="17"/>
        <v>0.39946777592156923</v>
      </c>
      <c r="AF16" s="8">
        <f>Balance_on_income!E16/(NFA_in_yen!E15+NFA_in_yen!H15)*100</f>
        <v>3.3775218737785258</v>
      </c>
      <c r="AG16" s="8">
        <f>Balance_on_income!J16/NFA_in_yen!L15*100</f>
        <v>1.3534534836890859</v>
      </c>
      <c r="AH16" s="8">
        <f t="shared" si="11"/>
        <v>1.9768796414048051</v>
      </c>
      <c r="AI16" s="8">
        <f t="shared" si="12"/>
        <v>-1.9765033964203038E-2</v>
      </c>
      <c r="AJ16" s="8">
        <f t="shared" si="13"/>
        <v>1.9966446753690081</v>
      </c>
    </row>
    <row r="17" spans="1:36">
      <c r="A17" s="11">
        <v>2009</v>
      </c>
      <c r="B17" s="7">
        <f>Balance_on_income!B17/SUM(NFA_in_yen!C16+NFA_in_yen!D16+NFA_in_yen!E16+NFA_in_yen!G16+NFA_in_yen!H16)*100</f>
        <v>3.2952981214744694</v>
      </c>
      <c r="C17" s="7">
        <f>Balance_on_income!C17/NFA_in_yen!C16*100</f>
        <v>6.9436345966958219</v>
      </c>
      <c r="D17" s="7">
        <f>Balance_on_income!D17/NFA_in_yen!D16*100</f>
        <v>6.475137504536951</v>
      </c>
      <c r="E17" s="7">
        <f>Balance_on_income!E17/NFA_in_yen!E16*100</f>
        <v>4.8682623078419924</v>
      </c>
      <c r="F17" s="7">
        <f>Balance_on_income!F17/NFA_in_yen!G16*100</f>
        <v>1.0684858061967379</v>
      </c>
      <c r="G17" s="7">
        <f>Balance_on_income!G17/SUM(NFA_in_yen!J16+NFA_in_yen!K16+NFA_in_yen!L16+NFA_in_yen!N16)*100</f>
        <v>1.4356114868533043</v>
      </c>
      <c r="H17" s="7">
        <f>Balance_on_income!H17/NFA_in_yen!J16*100</f>
        <v>4.4793021239705242</v>
      </c>
      <c r="I17" s="7">
        <f>Balance_on_income!I17/NFA_in_yen!K16*100</f>
        <v>1.9841165755919852</v>
      </c>
      <c r="J17" s="7">
        <f>Balance_on_income!J17/NFA_in_yen!L16*100</f>
        <v>1.2927527285990854</v>
      </c>
      <c r="K17" s="7">
        <f>Balance_on_income!K17/NFA_in_yen!N16*100</f>
        <v>0.77784594088685444</v>
      </c>
      <c r="M17" s="8">
        <v>-1.3467189030362301</v>
      </c>
      <c r="N17" s="21"/>
      <c r="O17" s="8">
        <f t="shared" si="0"/>
        <v>4.7053853383225874</v>
      </c>
      <c r="P17" s="8">
        <f t="shared" si="1"/>
        <v>8.4035253643349961</v>
      </c>
      <c r="Q17" s="8">
        <f t="shared" si="2"/>
        <v>7.9286328043010279</v>
      </c>
      <c r="R17" s="8">
        <f t="shared" si="3"/>
        <v>6.2998221060378778</v>
      </c>
      <c r="S17" s="8">
        <f t="shared" si="4"/>
        <v>2.4481747412527843</v>
      </c>
      <c r="T17" s="8">
        <f t="shared" si="5"/>
        <v>2.8203120656015823</v>
      </c>
      <c r="U17" s="8">
        <f t="shared" si="6"/>
        <v>5.9055522150150308</v>
      </c>
      <c r="V17" s="8">
        <f t="shared" si="7"/>
        <v>3.3763048137795071</v>
      </c>
      <c r="W17" s="8">
        <f t="shared" si="8"/>
        <v>2.675503138148061</v>
      </c>
      <c r="X17" s="8">
        <f t="shared" si="14"/>
        <v>2.1535673424129653</v>
      </c>
      <c r="Z17" s="8">
        <f t="shared" si="9"/>
        <v>1.8850732727210051</v>
      </c>
      <c r="AA17" s="8">
        <f t="shared" si="10"/>
        <v>2.4979731493199653</v>
      </c>
      <c r="AB17" s="8">
        <f t="shared" si="15"/>
        <v>4.5523279905215208</v>
      </c>
      <c r="AC17" s="8">
        <f t="shared" si="16"/>
        <v>3.6243189678898169</v>
      </c>
      <c r="AD17" s="8">
        <f t="shared" si="17"/>
        <v>0.29460739883981901</v>
      </c>
      <c r="AF17" s="8">
        <f>Balance_on_income!E17/(NFA_in_yen!E16+NFA_in_yen!H16)*100</f>
        <v>3.2092227174104258</v>
      </c>
      <c r="AG17" s="8">
        <f>Balance_on_income!J17/NFA_in_yen!L16*100</f>
        <v>1.2927527285990854</v>
      </c>
      <c r="AH17" s="8">
        <f t="shared" si="11"/>
        <v>4.6181349163326058</v>
      </c>
      <c r="AI17" s="8">
        <f t="shared" si="12"/>
        <v>2.675503138148061</v>
      </c>
      <c r="AJ17" s="8">
        <f t="shared" si="13"/>
        <v>1.9426317781845448</v>
      </c>
    </row>
    <row r="18" spans="1:36">
      <c r="A18" s="11">
        <v>2010</v>
      </c>
      <c r="B18" s="7">
        <f>Balance_on_income!B18/SUM(NFA_in_yen!C17+NFA_in_yen!D17+NFA_in_yen!E17+NFA_in_yen!G17+NFA_in_yen!H17)*100</f>
        <v>2.8944648776279345</v>
      </c>
      <c r="C18" s="7">
        <f>Balance_on_income!C18/NFA_in_yen!C17*100</f>
        <v>4.9227386013780974</v>
      </c>
      <c r="D18" s="7">
        <f>Balance_on_income!D18/NFA_in_yen!D17*100</f>
        <v>5.7499954285296324</v>
      </c>
      <c r="E18" s="7">
        <f>Balance_on_income!E18/NFA_in_yen!E17*100</f>
        <v>3.9675931732448309</v>
      </c>
      <c r="F18" s="7">
        <f>Balance_on_income!F18/NFA_in_yen!G17*100</f>
        <v>0.97816325374800761</v>
      </c>
      <c r="G18" s="7">
        <f>Balance_on_income!G18/SUM(NFA_in_yen!J17+NFA_in_yen!K17+NFA_in_yen!L17+NFA_in_yen!N17)*100</f>
        <v>1.2499378034304074</v>
      </c>
      <c r="H18" s="7">
        <f>Balance_on_income!H18/NFA_in_yen!J17*100</f>
        <v>2.7495251017639077</v>
      </c>
      <c r="I18" s="7">
        <f>Balance_on_income!I18/NFA_in_yen!K17*100</f>
        <v>1.9717959461582779</v>
      </c>
      <c r="J18" s="7">
        <f>Balance_on_income!J18/NFA_in_yen!L17*100</f>
        <v>1.3365272403415023</v>
      </c>
      <c r="K18" s="7">
        <f>Balance_on_income!K18/NFA_in_yen!N17*100</f>
        <v>0.52204701716826551</v>
      </c>
      <c r="M18" s="8">
        <v>-0.71978158351947696</v>
      </c>
      <c r="N18" s="21"/>
      <c r="O18" s="8">
        <f t="shared" si="0"/>
        <v>3.6404497479907372</v>
      </c>
      <c r="P18" s="8">
        <f t="shared" si="1"/>
        <v>5.6834284562380821</v>
      </c>
      <c r="Q18" s="8">
        <f t="shared" si="2"/>
        <v>6.5166828953864497</v>
      </c>
      <c r="R18" s="8">
        <f t="shared" si="3"/>
        <v>4.7213582237508378</v>
      </c>
      <c r="S18" s="8">
        <f t="shared" si="4"/>
        <v>1.7102549373376519</v>
      </c>
      <c r="T18" s="8">
        <f t="shared" si="5"/>
        <v>1.9839998525052804</v>
      </c>
      <c r="U18" s="8">
        <f t="shared" si="6"/>
        <v>3.494459158751706</v>
      </c>
      <c r="V18" s="8">
        <f t="shared" si="7"/>
        <v>2.711091466767912</v>
      </c>
      <c r="W18" s="8">
        <f t="shared" si="8"/>
        <v>2.0712170628339743</v>
      </c>
      <c r="X18" s="8">
        <f t="shared" si="14"/>
        <v>1.2508318580427336</v>
      </c>
      <c r="Z18" s="8">
        <f t="shared" si="9"/>
        <v>1.6564498954854567</v>
      </c>
      <c r="AA18" s="8">
        <f t="shared" si="10"/>
        <v>2.1889692974863761</v>
      </c>
      <c r="AB18" s="8">
        <f t="shared" si="15"/>
        <v>3.8055914286185377</v>
      </c>
      <c r="AC18" s="8">
        <f t="shared" si="16"/>
        <v>2.6501411609168635</v>
      </c>
      <c r="AD18" s="8">
        <f t="shared" si="17"/>
        <v>0.45942307929491832</v>
      </c>
      <c r="AF18" s="8">
        <f>Balance_on_income!E18/(NFA_in_yen!E17+NFA_in_yen!H17)*100</f>
        <v>2.7048563037894757</v>
      </c>
      <c r="AG18" s="8">
        <f>Balance_on_income!J18/NFA_in_yen!L17*100</f>
        <v>1.3365272403415023</v>
      </c>
      <c r="AH18" s="8">
        <f t="shared" si="11"/>
        <v>3.4494665119919388</v>
      </c>
      <c r="AI18" s="8">
        <f t="shared" si="12"/>
        <v>2.0712170628339743</v>
      </c>
      <c r="AJ18" s="8">
        <f t="shared" si="13"/>
        <v>1.3782494491579644</v>
      </c>
    </row>
    <row r="19" spans="1:36">
      <c r="A19" s="11">
        <v>2011</v>
      </c>
      <c r="B19" s="7">
        <f>Balance_on_income!B19/SUM(NFA_in_yen!C18+NFA_in_yen!D18+NFA_in_yen!E18+NFA_in_yen!G18+NFA_in_yen!H18)*100</f>
        <v>3.2610036929309061</v>
      </c>
      <c r="C19" s="7">
        <f>Balance_on_income!C19/NFA_in_yen!C18*100</f>
        <v>6.9449409818144225</v>
      </c>
      <c r="D19" s="7">
        <f>Balance_on_income!D19/NFA_in_yen!D18*100</f>
        <v>7.8969273641923925</v>
      </c>
      <c r="E19" s="7">
        <f>Balance_on_income!E19/NFA_in_yen!E18*100</f>
        <v>3.653572897580676</v>
      </c>
      <c r="F19" s="7">
        <f>Balance_on_income!F19/NFA_in_yen!G18*100</f>
        <v>0.96152659984579791</v>
      </c>
      <c r="G19" s="7">
        <f>Balance_on_income!G19/SUM(NFA_in_yen!J18+NFA_in_yen!K18+NFA_in_yen!L18+NFA_in_yen!N18)*100</f>
        <v>1.3659330994746539</v>
      </c>
      <c r="H19" s="7">
        <f>Balance_on_income!H19/NFA_in_yen!J18*100</f>
        <v>5.0245686207290596</v>
      </c>
      <c r="I19" s="7">
        <f>Balance_on_income!I19/NFA_in_yen!K18*100</f>
        <v>2.1637259892968448</v>
      </c>
      <c r="J19" s="7">
        <f>Balance_on_income!J19/NFA_in_yen!L18*100</f>
        <v>1.2577956763710603</v>
      </c>
      <c r="K19" s="7">
        <f>Balance_on_income!K19/NFA_in_yen!N18*100</f>
        <v>0.43494377857407646</v>
      </c>
      <c r="M19" s="8">
        <v>-0.28333333333330502</v>
      </c>
      <c r="N19" s="21"/>
      <c r="O19" s="8">
        <f t="shared" si="0"/>
        <v>3.5544078485016284</v>
      </c>
      <c r="P19" s="8">
        <f t="shared" si="1"/>
        <v>7.2488126175641598</v>
      </c>
      <c r="Q19" s="8">
        <f t="shared" si="2"/>
        <v>8.2035039587421199</v>
      </c>
      <c r="R19" s="8">
        <f t="shared" si="3"/>
        <v>3.9480924929774286</v>
      </c>
      <c r="S19" s="8">
        <f t="shared" si="4"/>
        <v>1.2483970581772752</v>
      </c>
      <c r="T19" s="8">
        <f t="shared" si="5"/>
        <v>1.6539526319317766</v>
      </c>
      <c r="U19" s="8">
        <f t="shared" si="6"/>
        <v>5.3229837413294678</v>
      </c>
      <c r="V19" s="8">
        <f t="shared" si="7"/>
        <v>2.4540123576434647</v>
      </c>
      <c r="W19" s="8">
        <f t="shared" si="8"/>
        <v>1.5455079488928769</v>
      </c>
      <c r="X19" s="8">
        <f t="shared" si="14"/>
        <v>0.72031801294405451</v>
      </c>
      <c r="Z19" s="8">
        <f t="shared" si="9"/>
        <v>1.9004552165698518</v>
      </c>
      <c r="AA19" s="8">
        <f t="shared" si="10"/>
        <v>1.925828876234692</v>
      </c>
      <c r="AB19" s="8">
        <f t="shared" si="15"/>
        <v>5.7494916010986552</v>
      </c>
      <c r="AC19" s="8">
        <f t="shared" si="16"/>
        <v>2.4025845440845517</v>
      </c>
      <c r="AD19" s="8">
        <f t="shared" si="17"/>
        <v>0.52807904523322069</v>
      </c>
      <c r="AF19" s="8">
        <f>Balance_on_income!E19/(NFA_in_yen!E18+NFA_in_yen!H18)*100</f>
        <v>2.5774052506973892</v>
      </c>
      <c r="AG19" s="8">
        <f>Balance_on_income!J19/NFA_in_yen!L18*100</f>
        <v>1.2577956763710603</v>
      </c>
      <c r="AH19" s="8">
        <f t="shared" si="11"/>
        <v>2.8688670406458394</v>
      </c>
      <c r="AI19" s="8">
        <f t="shared" si="12"/>
        <v>1.5455079488928769</v>
      </c>
      <c r="AJ19" s="8">
        <f t="shared" si="13"/>
        <v>1.3233590917529625</v>
      </c>
    </row>
    <row r="20" spans="1:36">
      <c r="A20" s="11">
        <v>2012</v>
      </c>
      <c r="B20" s="7">
        <f>Balance_on_income!B20/SUM(NFA_in_yen!C19+NFA_in_yen!D19+NFA_in_yen!E19+NFA_in_yen!G19+NFA_in_yen!H19)*100</f>
        <v>3.2479101783753261</v>
      </c>
      <c r="C20" s="7">
        <f>Balance_on_income!C20/NFA_in_yen!C19*100</f>
        <v>7.3140034190795413</v>
      </c>
      <c r="D20" s="7">
        <f>Balance_on_income!D20/NFA_in_yen!D19*100</f>
        <v>8.9142028985507249</v>
      </c>
      <c r="E20" s="7">
        <f>Balance_on_income!E20/NFA_in_yen!E19*100</f>
        <v>3.5622631473971142</v>
      </c>
      <c r="F20" s="7">
        <f>Balance_on_income!F20/NFA_in_yen!G19*100</f>
        <v>0.85818020999771738</v>
      </c>
      <c r="G20" s="7">
        <f>Balance_on_income!G20/SUM(NFA_in_yen!J19+NFA_in_yen!K19+NFA_in_yen!L19+NFA_in_yen!N19)*100</f>
        <v>1.4408857077512316</v>
      </c>
      <c r="H20" s="7">
        <f>Balance_on_income!H20/NFA_in_yen!J19*100</f>
        <v>6.9495099156599043</v>
      </c>
      <c r="I20" s="7">
        <f>Balance_on_income!I20/NFA_in_yen!K19*100</f>
        <v>2.7084947069455203</v>
      </c>
      <c r="J20" s="7">
        <f>Balance_on_income!J20/NFA_in_yen!L19*100</f>
        <v>1.0199805759556522</v>
      </c>
      <c r="K20" s="7">
        <f>Balance_on_income!K20/NFA_in_yen!N19*100</f>
        <v>0.39553070975460258</v>
      </c>
      <c r="M20" s="8">
        <v>-3.3428046130775199E-2</v>
      </c>
      <c r="N20" s="21"/>
      <c r="O20" s="8">
        <f t="shared" si="0"/>
        <v>3.2824354785520926</v>
      </c>
      <c r="P20" s="8">
        <f t="shared" si="1"/>
        <v>7.34988838929167</v>
      </c>
      <c r="Q20" s="8">
        <f t="shared" si="2"/>
        <v>8.9506229630545775</v>
      </c>
      <c r="R20" s="8">
        <f t="shared" si="3"/>
        <v>3.596893564768</v>
      </c>
      <c r="S20" s="8">
        <f t="shared" si="4"/>
        <v>0.89190640301235469</v>
      </c>
      <c r="T20" s="8">
        <f t="shared" si="5"/>
        <v>1.4748067529637199</v>
      </c>
      <c r="U20" s="8">
        <f t="shared" si="6"/>
        <v>6.9852730020721676</v>
      </c>
      <c r="V20" s="8">
        <f t="shared" si="7"/>
        <v>2.7428396307733749</v>
      </c>
      <c r="W20" s="8">
        <f t="shared" si="8"/>
        <v>1.0537608737574145</v>
      </c>
      <c r="X20" s="8">
        <f t="shared" si="14"/>
        <v>0.42910219636553837</v>
      </c>
      <c r="Z20" s="8">
        <f t="shared" si="9"/>
        <v>1.8076287255883727</v>
      </c>
      <c r="AA20" s="8">
        <f t="shared" si="10"/>
        <v>0.36461538721950237</v>
      </c>
      <c r="AB20" s="8">
        <f t="shared" si="15"/>
        <v>6.2077833322812026</v>
      </c>
      <c r="AC20" s="8">
        <f t="shared" si="16"/>
        <v>2.5431326910105856</v>
      </c>
      <c r="AD20" s="8">
        <f t="shared" si="17"/>
        <v>0.46280420664681632</v>
      </c>
      <c r="AF20" s="8">
        <f>Balance_on_income!E20/(NFA_in_yen!E19+NFA_in_yen!H19)*100</f>
        <v>2.4112558704687697</v>
      </c>
      <c r="AG20" s="8">
        <f>Balance_on_income!J20/NFA_in_yen!L19*100</f>
        <v>1.0199805759556522</v>
      </c>
      <c r="AH20" s="8">
        <f t="shared" si="11"/>
        <v>2.4455013999356456</v>
      </c>
      <c r="AI20" s="8">
        <f t="shared" si="12"/>
        <v>1.0537608737574145</v>
      </c>
      <c r="AJ20" s="8">
        <f t="shared" si="13"/>
        <v>1.3917405261782312</v>
      </c>
    </row>
    <row r="21" spans="1:36">
      <c r="A21" s="11">
        <v>2013</v>
      </c>
      <c r="B21" s="7">
        <f>Balance_on_income!B21/SUM(NFA_in_yen!C20+NFA_in_yen!D20+NFA_in_yen!E20+NFA_in_yen!G20+NFA_in_yen!H20)*100</f>
        <v>3.2956122200584228</v>
      </c>
      <c r="C21" s="7">
        <f>Balance_on_income!C21/NFA_in_yen!C20*100</f>
        <v>7.4138487746762722</v>
      </c>
      <c r="D21" s="7">
        <f>Balance_on_income!D21/NFA_in_yen!D20*100</f>
        <v>8.839007986548971</v>
      </c>
      <c r="E21" s="7">
        <f>Balance_on_income!E21/NFA_in_yen!E20*100</f>
        <v>3.4654388386114467</v>
      </c>
      <c r="F21" s="7">
        <f>Balance_on_income!F21/NFA_in_yen!G20*100</f>
        <v>0.80671851188101329</v>
      </c>
      <c r="G21" s="7">
        <f>Balance_on_income!G21/SUM(NFA_in_yen!J20+NFA_in_yen!K20+NFA_in_yen!L20+NFA_in_yen!N20)*100</f>
        <v>1.4382588227456683</v>
      </c>
      <c r="H21" s="7">
        <f>Balance_on_income!H21/NFA_in_yen!J20*100</f>
        <v>7.142295597484277</v>
      </c>
      <c r="I21" s="7">
        <f>Balance_on_income!I21/NFA_in_yen!K20*100</f>
        <v>2.6584566039542343</v>
      </c>
      <c r="J21" s="7">
        <f>Balance_on_income!J21/NFA_in_yen!L20*100</f>
        <v>1.0627346618805957</v>
      </c>
      <c r="K21" s="7">
        <f>Balance_on_income!K21/NFA_in_yen!N20*100</f>
        <v>0.40629824019759186</v>
      </c>
      <c r="M21" s="7">
        <v>0.35947166025784699</v>
      </c>
      <c r="N21" s="21"/>
      <c r="O21" s="8">
        <f t="shared" si="0"/>
        <v>2.9256237714564204</v>
      </c>
      <c r="P21" s="8">
        <f t="shared" si="1"/>
        <v>7.0291094579486124</v>
      </c>
      <c r="Q21" s="8">
        <f t="shared" si="2"/>
        <v>8.4491639762677373</v>
      </c>
      <c r="R21" s="8">
        <f t="shared" si="3"/>
        <v>3.0948420980812852</v>
      </c>
      <c r="S21" s="8">
        <f t="shared" si="4"/>
        <v>0.44564488455778317</v>
      </c>
      <c r="T21" s="8">
        <f t="shared" si="5"/>
        <v>1.0749231185072317</v>
      </c>
      <c r="U21" s="8">
        <f t="shared" si="6"/>
        <v>6.7585289410330818</v>
      </c>
      <c r="V21" s="8">
        <f t="shared" si="7"/>
        <v>2.2907503453974076</v>
      </c>
      <c r="W21" s="8">
        <f t="shared" si="8"/>
        <v>0.70074402544035852</v>
      </c>
      <c r="X21" s="8">
        <f t="shared" si="14"/>
        <v>4.6658854580527986E-2</v>
      </c>
      <c r="Z21" s="8">
        <f t="shared" si="9"/>
        <v>1.8507006529491887</v>
      </c>
      <c r="AA21" s="8">
        <f t="shared" si="10"/>
        <v>0.27058051691553064</v>
      </c>
      <c r="AB21" s="8">
        <f>Q21-V21</f>
        <v>6.1584136308703297</v>
      </c>
      <c r="AC21" s="8">
        <f>R21-W21</f>
        <v>2.3940980726409267</v>
      </c>
      <c r="AD21" s="8">
        <f>S21-X21</f>
        <v>0.39898602997725519</v>
      </c>
      <c r="AF21" s="8">
        <f>Balance_on_income!E21/(NFA_in_yen!E20+NFA_in_yen!H20)*100</f>
        <v>2.3971771411513907</v>
      </c>
      <c r="AG21" s="8">
        <f>Balance_on_income!J21/NFA_in_yen!L20*100</f>
        <v>1.0627346618805957</v>
      </c>
      <c r="AH21" s="8">
        <f t="shared" si="11"/>
        <v>2.0304067440606755</v>
      </c>
      <c r="AI21" s="8">
        <f t="shared" si="12"/>
        <v>0.70074402544035852</v>
      </c>
      <c r="AJ21" s="8">
        <f t="shared" si="13"/>
        <v>1.3296627186203169</v>
      </c>
    </row>
    <row r="23" spans="1:36">
      <c r="A23" s="7" t="s">
        <v>624</v>
      </c>
      <c r="O23" s="8">
        <f>AVERAGE(O4:O21)</f>
        <v>3.5924457375105145</v>
      </c>
      <c r="P23" s="8">
        <f t="shared" ref="P23:X23" si="18">AVERAGE(P4:P21)</f>
        <v>6.4046826184020809</v>
      </c>
      <c r="Q23" s="8">
        <f t="shared" si="18"/>
        <v>5.2110363084096001</v>
      </c>
      <c r="R23" s="8">
        <f t="shared" si="18"/>
        <v>5.1571385556240941</v>
      </c>
      <c r="S23" s="8">
        <f t="shared" si="18"/>
        <v>1.9338804361824755</v>
      </c>
      <c r="T23" s="8">
        <f t="shared" si="18"/>
        <v>1.9278397177999347</v>
      </c>
      <c r="U23" s="8">
        <f t="shared" si="18"/>
        <v>8.3117879535630799</v>
      </c>
      <c r="V23" s="8">
        <f t="shared" si="18"/>
        <v>1.3326401838192696</v>
      </c>
      <c r="W23" s="8">
        <f t="shared" si="18"/>
        <v>2.51762739409953</v>
      </c>
      <c r="X23" s="8">
        <f t="shared" si="18"/>
        <v>1.5644472313524347</v>
      </c>
      <c r="Z23" s="8">
        <f>AVERAGE(Z4:Z21)</f>
        <v>1.6646060197105808</v>
      </c>
      <c r="AA23" s="8">
        <f t="shared" ref="AA23:AD23" si="19">AVERAGE(AA4:AA21)</f>
        <v>-1.9071053351609966</v>
      </c>
      <c r="AB23" s="8">
        <f t="shared" si="19"/>
        <v>3.8783961245903305</v>
      </c>
      <c r="AC23" s="8">
        <f t="shared" si="19"/>
        <v>2.6395111615245641</v>
      </c>
      <c r="AD23" s="8">
        <f t="shared" si="19"/>
        <v>0.36943320483004105</v>
      </c>
      <c r="AF23" s="8">
        <f>AVERAGE(AF4:AF21)</f>
        <v>3.6868655717744585</v>
      </c>
      <c r="AG23" s="8">
        <f t="shared" ref="AG23:AI23" si="20">AVERAGE(AG4:AG21)</f>
        <v>2.4575998949731268</v>
      </c>
      <c r="AH23" s="8">
        <f t="shared" si="20"/>
        <v>3.7484936109908458</v>
      </c>
      <c r="AI23" s="8">
        <f t="shared" si="20"/>
        <v>2.51762739409953</v>
      </c>
      <c r="AJ23" s="8">
        <f>AVERAGE(AJ4:AJ21)</f>
        <v>1.2308662168913163</v>
      </c>
    </row>
    <row r="24" spans="1:36">
      <c r="Z24" s="7"/>
      <c r="AA24" s="7"/>
      <c r="AB24" s="7"/>
      <c r="AC24" s="7"/>
      <c r="AD24" s="7"/>
      <c r="AE24" s="7"/>
      <c r="AF24" s="7"/>
      <c r="AG24" s="7"/>
      <c r="AH24" s="7"/>
      <c r="AI24" s="7"/>
      <c r="AJ24" s="7"/>
    </row>
    <row r="25" spans="1:36">
      <c r="A25" s="11" t="s">
        <v>209</v>
      </c>
    </row>
    <row r="26" spans="1:36">
      <c r="A26" s="11" t="s">
        <v>389</v>
      </c>
    </row>
  </sheetData>
  <phoneticPr fontId="4"/>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32"/>
  <sheetViews>
    <sheetView workbookViewId="0">
      <pane xSplit="1" ySplit="3" topLeftCell="B4" activePane="bottomRight" state="frozen"/>
      <selection pane="topRight" activeCell="B1" sqref="B1"/>
      <selection pane="bottomLeft" activeCell="A3" sqref="A3"/>
      <selection pane="bottomRight"/>
    </sheetView>
  </sheetViews>
  <sheetFormatPr baseColWidth="12" defaultRowHeight="18" x14ac:dyDescent="0"/>
  <cols>
    <col min="1" max="59" width="12.83203125" style="11"/>
  </cols>
  <sheetData>
    <row r="1" spans="1:64" ht="91">
      <c r="B1" s="11" t="s">
        <v>38</v>
      </c>
      <c r="C1" s="47"/>
      <c r="D1" s="15" t="s">
        <v>525</v>
      </c>
      <c r="E1" s="15" t="s">
        <v>526</v>
      </c>
      <c r="F1" s="15" t="s">
        <v>527</v>
      </c>
      <c r="G1" s="15" t="s">
        <v>528</v>
      </c>
      <c r="H1" s="15" t="s">
        <v>529</v>
      </c>
      <c r="I1" s="15" t="s">
        <v>530</v>
      </c>
      <c r="J1" s="15" t="s">
        <v>531</v>
      </c>
      <c r="K1" s="13" t="s">
        <v>532</v>
      </c>
      <c r="L1" s="14" t="s">
        <v>29</v>
      </c>
      <c r="M1" s="14" t="s">
        <v>392</v>
      </c>
      <c r="N1" s="14" t="s">
        <v>393</v>
      </c>
      <c r="O1" s="14" t="s">
        <v>533</v>
      </c>
      <c r="P1" s="14" t="s">
        <v>534</v>
      </c>
      <c r="Q1" s="15" t="s">
        <v>535</v>
      </c>
      <c r="R1" s="15" t="s">
        <v>536</v>
      </c>
      <c r="S1" s="15" t="s">
        <v>537</v>
      </c>
      <c r="T1" s="15" t="s">
        <v>538</v>
      </c>
      <c r="U1" s="15" t="s">
        <v>539</v>
      </c>
      <c r="V1" s="13" t="s">
        <v>394</v>
      </c>
      <c r="W1" s="14" t="s">
        <v>30</v>
      </c>
      <c r="X1" s="14" t="s">
        <v>395</v>
      </c>
      <c r="Y1" s="14" t="s">
        <v>396</v>
      </c>
      <c r="Z1" s="14" t="s">
        <v>540</v>
      </c>
      <c r="AA1" s="14" t="s">
        <v>541</v>
      </c>
      <c r="AB1" s="15" t="s">
        <v>542</v>
      </c>
      <c r="AC1" s="14" t="s">
        <v>543</v>
      </c>
      <c r="AD1" s="15" t="s">
        <v>544</v>
      </c>
      <c r="AE1" s="15" t="s">
        <v>545</v>
      </c>
      <c r="AF1" s="15" t="s">
        <v>546</v>
      </c>
      <c r="AG1" s="13" t="s">
        <v>397</v>
      </c>
      <c r="AH1" s="14" t="s">
        <v>31</v>
      </c>
      <c r="AI1" s="14" t="s">
        <v>398</v>
      </c>
      <c r="AJ1" s="14" t="s">
        <v>399</v>
      </c>
      <c r="AK1" s="14" t="s">
        <v>547</v>
      </c>
      <c r="AL1" s="14" t="s">
        <v>548</v>
      </c>
      <c r="AM1" s="15" t="s">
        <v>549</v>
      </c>
      <c r="AN1" s="15" t="s">
        <v>550</v>
      </c>
      <c r="AO1" s="15" t="s">
        <v>551</v>
      </c>
      <c r="AP1" s="15" t="s">
        <v>552</v>
      </c>
      <c r="AQ1" s="15" t="s">
        <v>553</v>
      </c>
      <c r="AR1" s="13" t="s">
        <v>400</v>
      </c>
      <c r="AS1" s="14" t="s">
        <v>32</v>
      </c>
      <c r="AT1" s="14" t="s">
        <v>402</v>
      </c>
      <c r="AU1" s="14" t="s">
        <v>401</v>
      </c>
      <c r="AV1" s="14" t="s">
        <v>554</v>
      </c>
      <c r="AW1" s="14" t="s">
        <v>555</v>
      </c>
      <c r="AX1" s="15" t="s">
        <v>556</v>
      </c>
      <c r="AY1" s="15" t="s">
        <v>557</v>
      </c>
      <c r="AZ1" s="15" t="s">
        <v>558</v>
      </c>
      <c r="BA1" s="15" t="s">
        <v>559</v>
      </c>
      <c r="BB1" s="15" t="s">
        <v>560</v>
      </c>
      <c r="BC1" s="13" t="s">
        <v>561</v>
      </c>
      <c r="BD1" s="16" t="s">
        <v>186</v>
      </c>
      <c r="BE1" s="16" t="s">
        <v>562</v>
      </c>
      <c r="BF1" s="16" t="s">
        <v>563</v>
      </c>
      <c r="BG1" s="15" t="s">
        <v>564</v>
      </c>
    </row>
    <row r="2" spans="1:64">
      <c r="B2" s="11" t="s">
        <v>405</v>
      </c>
      <c r="C2" s="47"/>
      <c r="D2" s="15" t="s">
        <v>210</v>
      </c>
      <c r="E2" s="15" t="s">
        <v>210</v>
      </c>
      <c r="F2" s="15" t="s">
        <v>201</v>
      </c>
      <c r="G2" s="15" t="s">
        <v>201</v>
      </c>
      <c r="H2" s="15" t="s">
        <v>201</v>
      </c>
      <c r="I2" s="15" t="s">
        <v>201</v>
      </c>
      <c r="J2" s="15" t="s">
        <v>222</v>
      </c>
      <c r="K2" s="17" t="s">
        <v>210</v>
      </c>
      <c r="L2" s="15" t="s">
        <v>210</v>
      </c>
      <c r="M2" s="15" t="s">
        <v>210</v>
      </c>
      <c r="N2" s="15" t="s">
        <v>210</v>
      </c>
      <c r="O2" s="15" t="s">
        <v>210</v>
      </c>
      <c r="P2" s="15" t="s">
        <v>210</v>
      </c>
      <c r="Q2" s="15" t="s">
        <v>201</v>
      </c>
      <c r="R2" s="15" t="s">
        <v>201</v>
      </c>
      <c r="S2" s="15" t="s">
        <v>201</v>
      </c>
      <c r="T2" s="15" t="s">
        <v>201</v>
      </c>
      <c r="U2" s="15" t="s">
        <v>222</v>
      </c>
      <c r="V2" s="17" t="s">
        <v>210</v>
      </c>
      <c r="W2" s="18" t="s">
        <v>210</v>
      </c>
      <c r="X2" s="18" t="s">
        <v>210</v>
      </c>
      <c r="Y2" s="18" t="s">
        <v>210</v>
      </c>
      <c r="Z2" s="18" t="s">
        <v>210</v>
      </c>
      <c r="AA2" s="18" t="s">
        <v>210</v>
      </c>
      <c r="AB2" s="126" t="s">
        <v>659</v>
      </c>
      <c r="AC2" s="126" t="s">
        <v>659</v>
      </c>
      <c r="AD2" s="15" t="s">
        <v>201</v>
      </c>
      <c r="AE2" s="15" t="s">
        <v>201</v>
      </c>
      <c r="AF2" s="15" t="s">
        <v>222</v>
      </c>
      <c r="AG2" s="17" t="s">
        <v>210</v>
      </c>
      <c r="AH2" s="18" t="s">
        <v>210</v>
      </c>
      <c r="AI2" s="18" t="s">
        <v>210</v>
      </c>
      <c r="AJ2" s="18" t="s">
        <v>210</v>
      </c>
      <c r="AK2" s="18" t="s">
        <v>210</v>
      </c>
      <c r="AL2" s="18" t="s">
        <v>210</v>
      </c>
      <c r="AM2" s="15" t="s">
        <v>201</v>
      </c>
      <c r="AN2" s="15" t="s">
        <v>201</v>
      </c>
      <c r="AO2" s="15" t="s">
        <v>201</v>
      </c>
      <c r="AP2" s="15" t="s">
        <v>201</v>
      </c>
      <c r="AQ2" s="15" t="s">
        <v>222</v>
      </c>
      <c r="AR2" s="17" t="s">
        <v>210</v>
      </c>
      <c r="AS2" s="18" t="s">
        <v>210</v>
      </c>
      <c r="AT2" s="18" t="s">
        <v>210</v>
      </c>
      <c r="AU2" s="18" t="s">
        <v>210</v>
      </c>
      <c r="AV2" s="18" t="s">
        <v>210</v>
      </c>
      <c r="AW2" s="18" t="s">
        <v>210</v>
      </c>
      <c r="AX2" s="15" t="s">
        <v>201</v>
      </c>
      <c r="AY2" s="15" t="s">
        <v>201</v>
      </c>
      <c r="AZ2" s="15" t="s">
        <v>201</v>
      </c>
      <c r="BA2" s="15" t="s">
        <v>201</v>
      </c>
      <c r="BB2" s="15" t="s">
        <v>222</v>
      </c>
      <c r="BC2" s="17" t="s">
        <v>210</v>
      </c>
      <c r="BD2" s="18" t="s">
        <v>210</v>
      </c>
      <c r="BE2" s="18" t="s">
        <v>210</v>
      </c>
      <c r="BF2" s="15" t="s">
        <v>201</v>
      </c>
      <c r="BG2" s="15" t="s">
        <v>201</v>
      </c>
    </row>
    <row r="3" spans="1:64">
      <c r="A3" s="11" t="s">
        <v>33</v>
      </c>
      <c r="B3" s="11" t="s">
        <v>218</v>
      </c>
      <c r="C3" s="47"/>
      <c r="D3" s="15" t="s">
        <v>211</v>
      </c>
      <c r="E3" s="15" t="s">
        <v>211</v>
      </c>
      <c r="F3" s="15"/>
      <c r="G3" s="15"/>
      <c r="H3" s="15"/>
      <c r="I3" s="15"/>
      <c r="J3" s="15"/>
      <c r="K3" s="13" t="s">
        <v>212</v>
      </c>
      <c r="L3" s="19" t="s">
        <v>212</v>
      </c>
      <c r="M3" s="14" t="s">
        <v>35</v>
      </c>
      <c r="N3" s="14" t="s">
        <v>36</v>
      </c>
      <c r="O3" s="14"/>
      <c r="P3" s="14"/>
      <c r="Q3" s="14"/>
      <c r="R3" s="14"/>
      <c r="S3" s="15"/>
      <c r="T3" s="15"/>
      <c r="U3" s="15"/>
      <c r="V3" s="13" t="s">
        <v>212</v>
      </c>
      <c r="W3" s="19" t="s">
        <v>212</v>
      </c>
      <c r="X3" s="14" t="s">
        <v>35</v>
      </c>
      <c r="Y3" s="14" t="s">
        <v>36</v>
      </c>
      <c r="Z3" s="14"/>
      <c r="AA3" s="14"/>
      <c r="AB3" s="15"/>
      <c r="AC3" s="15"/>
      <c r="AD3" s="15"/>
      <c r="AE3" s="15"/>
      <c r="AF3" s="15"/>
      <c r="AG3" s="13" t="s">
        <v>212</v>
      </c>
      <c r="AH3" s="19" t="s">
        <v>212</v>
      </c>
      <c r="AI3" s="14" t="s">
        <v>36</v>
      </c>
      <c r="AJ3" s="14" t="s">
        <v>35</v>
      </c>
      <c r="AK3" s="14"/>
      <c r="AL3" s="14"/>
      <c r="AM3" s="14"/>
      <c r="AN3" s="14"/>
      <c r="AO3" s="15"/>
      <c r="AP3" s="15"/>
      <c r="AQ3" s="15"/>
      <c r="AR3" s="13" t="s">
        <v>212</v>
      </c>
      <c r="AS3" s="19" t="s">
        <v>212</v>
      </c>
      <c r="AT3" s="14" t="s">
        <v>37</v>
      </c>
      <c r="AU3" s="14" t="s">
        <v>35</v>
      </c>
      <c r="AV3" s="14"/>
      <c r="AW3" s="14"/>
      <c r="AX3" s="14"/>
      <c r="AY3" s="14"/>
      <c r="AZ3" s="15"/>
      <c r="BA3" s="15"/>
      <c r="BB3" s="15"/>
      <c r="BC3" s="13" t="s">
        <v>212</v>
      </c>
      <c r="BD3" s="16" t="s">
        <v>34</v>
      </c>
      <c r="BE3" s="16"/>
      <c r="BF3" s="16"/>
      <c r="BG3" s="15"/>
    </row>
    <row r="4" spans="1:64">
      <c r="A4" s="11">
        <v>1996</v>
      </c>
      <c r="B4" s="8">
        <f>yield!M4</f>
        <v>0.131871754719214</v>
      </c>
      <c r="C4" s="47"/>
      <c r="D4" s="26">
        <f t="shared" ref="D4:D21" si="0">O4+Z4+AK4+AV4+BE4</f>
        <v>14185.93</v>
      </c>
      <c r="E4" s="26">
        <f t="shared" ref="E4:E21" si="1">P4+AA4+AL4+AW4</f>
        <v>996.50000000000045</v>
      </c>
      <c r="F4" s="21">
        <f>D4/(NFA_in_yen!C3+NFA_in_yen!D3+NFA_in_yen!E3+NFA_in_yen!G3+NFA_in_yen!H3)*100</f>
        <v>5.2397262297867311</v>
      </c>
      <c r="G4" s="27">
        <f>E4/(NFA_in_yen!J3+NFA_in_yen!K3+NFA_in_yen!L3+NFA_in_yen!N3)*100</f>
        <v>0.53384119228997273</v>
      </c>
      <c r="H4" s="21">
        <f>((1+F4/100)/(1+B4/100)-1)*100</f>
        <v>5.1011275286849678</v>
      </c>
      <c r="I4" s="21">
        <f>((1+G4/100)/(1+B4/100)-1)*100</f>
        <v>0.40144005153066598</v>
      </c>
      <c r="J4" s="21">
        <f>H4-I4</f>
        <v>4.6996874771543018</v>
      </c>
      <c r="K4" s="46">
        <f>NFA_in_yen!C4-NFA_in_yen!C3</f>
        <v>5479</v>
      </c>
      <c r="L4" s="26">
        <f>NFA_in_yen!J4-NFA_in_yen!J3</f>
        <v>25</v>
      </c>
      <c r="M4" s="11">
        <v>2548.3000000000002</v>
      </c>
      <c r="N4" s="11">
        <v>24.8</v>
      </c>
      <c r="O4" s="26">
        <f>K4-M4</f>
        <v>2930.7</v>
      </c>
      <c r="P4" s="26">
        <f>L4-N4</f>
        <v>0.19999999999999929</v>
      </c>
      <c r="Q4" s="21">
        <f>O4/NFA_in_yen!C3*100</f>
        <v>11.952283849918432</v>
      </c>
      <c r="R4" s="21">
        <f>P4/NFA_in_yen!J3*100</f>
        <v>5.8004640371229496E-3</v>
      </c>
      <c r="S4" s="21">
        <f>((1+Q4/100)/(1+B4/100)-1)*100</f>
        <v>11.804844839167927</v>
      </c>
      <c r="T4" s="21">
        <f>((1+R4/100)/(1+B4/100)-1)*100</f>
        <v>-0.1259052572101016</v>
      </c>
      <c r="U4" s="21">
        <f>S4-T4</f>
        <v>11.930750096378029</v>
      </c>
      <c r="V4" s="46">
        <f>NFA_in_yen!D4-NFA_in_yen!D3</f>
        <v>2951</v>
      </c>
      <c r="W4" s="26">
        <f>NFA_in_yen!K4-NFA_in_yen!K3</f>
        <v>4761</v>
      </c>
      <c r="X4" s="11">
        <v>904.5</v>
      </c>
      <c r="Y4" s="11">
        <v>5298.2</v>
      </c>
      <c r="Z4" s="26">
        <f t="shared" ref="Z4:Z21" si="2">V4-X4</f>
        <v>2046.5</v>
      </c>
      <c r="AA4" s="26">
        <f t="shared" ref="AA4:AA21" si="3">W4-Y4</f>
        <v>-537.19999999999982</v>
      </c>
      <c r="AB4" s="21">
        <f>Z4/NFA_in_yen!D3*100</f>
        <v>13.607047872340425</v>
      </c>
      <c r="AC4" s="21">
        <f>AA4/NFA_in_yen!K3*100</f>
        <v>-1.7056675662803615</v>
      </c>
      <c r="AD4" s="21">
        <f>((1+AB4/100)/(1+B4/100)-1)*100</f>
        <v>13.457429569108337</v>
      </c>
      <c r="AE4" s="21">
        <f>((1+AC4/100)/(1+B4/100)-1)*100</f>
        <v>-1.8351193169551139</v>
      </c>
      <c r="AF4" s="21">
        <f>AD4-AE4</f>
        <v>15.29254888606345</v>
      </c>
      <c r="AG4" s="46">
        <f>NFA_in_yen!E4-NFA_in_yen!E3</f>
        <v>19957</v>
      </c>
      <c r="AH4" s="26">
        <f>NFA_in_yen!L4-NFA_in_yen!L3</f>
        <v>4937</v>
      </c>
      <c r="AI4" s="11">
        <v>10100.9</v>
      </c>
      <c r="AJ4" s="11">
        <v>1998.9</v>
      </c>
      <c r="AK4" s="26">
        <f t="shared" ref="AK4:AK21" si="4">AG4-AI4</f>
        <v>9856.1</v>
      </c>
      <c r="AL4" s="26">
        <f t="shared" ref="AL4:AL21" si="5">AH4-AJ4</f>
        <v>2938.1</v>
      </c>
      <c r="AM4" s="21">
        <f>AK4/NFA_in_yen!E3*100</f>
        <v>13.461491183741481</v>
      </c>
      <c r="AN4" s="21">
        <f>AL4/NFA_in_yen!L3*100</f>
        <v>11.807185339977496</v>
      </c>
      <c r="AO4" s="21">
        <f>((1+AM4/100)/(1+B4/100)-1)*100</f>
        <v>13.312064575876725</v>
      </c>
      <c r="AP4" s="21">
        <f>((1+AN4/100)/(1+B4/100)-1)*100</f>
        <v>11.659937421181809</v>
      </c>
      <c r="AQ4" s="21">
        <f>AO4-AP4</f>
        <v>1.6521271546949166</v>
      </c>
      <c r="AR4" s="46">
        <f>NFA_in_yen!G4-NFA_in_yen!G3</f>
        <v>-3757</v>
      </c>
      <c r="AS4" s="26">
        <f>NFA_in_yen!N4-NFA_in_yen!N3</f>
        <v>2174</v>
      </c>
      <c r="AT4" s="11">
        <v>-465.6</v>
      </c>
      <c r="AU4" s="11">
        <v>3578.6</v>
      </c>
      <c r="AV4" s="26">
        <f t="shared" ref="AV4:AV21" si="6">AR4-AT4</f>
        <v>-3291.4</v>
      </c>
      <c r="AW4" s="26">
        <f t="shared" ref="AW4:AW21" si="7">AS4-AU4</f>
        <v>-1404.6</v>
      </c>
      <c r="AX4" s="21">
        <f>AV4/NFA_in_yen!G3*100</f>
        <v>-2.3657181464683856</v>
      </c>
      <c r="AY4" s="21">
        <f>AW4/NFA_in_yen!N3*100</f>
        <v>-1.1073881061818525</v>
      </c>
      <c r="AZ4" s="21">
        <f>((1+AX4/100)/(1+B4/100)-1)*100</f>
        <v>-2.4943006231878173</v>
      </c>
      <c r="BA4" s="21">
        <f>((1+AY4/100)/(1+B4/100)-1)*100</f>
        <v>-1.2376277794314272</v>
      </c>
      <c r="BB4" s="21">
        <f>AZ4-BA4</f>
        <v>-1.2566728437563901</v>
      </c>
      <c r="BC4" s="46">
        <f>NFA_in_yen!H4-NFA_in_yen!H3</f>
        <v>6410</v>
      </c>
      <c r="BD4" s="11">
        <v>3765.97</v>
      </c>
      <c r="BE4" s="26">
        <f>BC4-BD4</f>
        <v>2644.03</v>
      </c>
      <c r="BF4" s="27">
        <f>BE4/NFA_in_yen!H3*100</f>
        <v>14.040091333899746</v>
      </c>
      <c r="BG4" s="8">
        <f>((1+BE4/NFA_in_yen!H3)/(1+B4/100)-1)*100</f>
        <v>13.889902720733915</v>
      </c>
      <c r="BK4" s="12"/>
      <c r="BL4" s="12"/>
    </row>
    <row r="5" spans="1:64">
      <c r="A5" s="11">
        <v>1997</v>
      </c>
      <c r="B5" s="8">
        <f>yield!M5</f>
        <v>1.7614618487114999</v>
      </c>
      <c r="C5" s="47"/>
      <c r="D5" s="26">
        <f t="shared" si="0"/>
        <v>11149.340000000002</v>
      </c>
      <c r="E5" s="26">
        <f t="shared" si="1"/>
        <v>4512.1000000000004</v>
      </c>
      <c r="F5" s="21">
        <f>D5/(NFA_in_yen!C4+NFA_in_yen!D4+NFA_in_yen!E4+NFA_in_yen!G4+NFA_in_yen!H4)*100</f>
        <v>3.6945502985638456</v>
      </c>
      <c r="G5" s="27">
        <f>E5/(NFA_in_yen!J4+NFA_in_yen!K4+NFA_in_yen!L4+NFA_in_yen!N4)*100</f>
        <v>2.2723770289530276</v>
      </c>
      <c r="H5" s="21">
        <f t="shared" ref="H5:H21" si="8">((1+F5/100)/(1+B5/100)-1)*100</f>
        <v>1.8996272407389991</v>
      </c>
      <c r="I5" s="21">
        <f t="shared" ref="I5:I21" si="9">((1+G5/100)/(1+B5/100)-1)*100</f>
        <v>0.50207138435283127</v>
      </c>
      <c r="J5" s="21">
        <f t="shared" ref="J5:J21" si="10">H5-I5</f>
        <v>1.3975558563861679</v>
      </c>
      <c r="K5" s="46">
        <f>NFA_in_yen!C5-NFA_in_yen!C4</f>
        <v>5335</v>
      </c>
      <c r="L5" s="26">
        <f>NFA_in_yen!J5-NFA_in_yen!J4</f>
        <v>46</v>
      </c>
      <c r="M5" s="11">
        <v>3145</v>
      </c>
      <c r="N5" s="11">
        <v>390.2</v>
      </c>
      <c r="O5" s="26">
        <f t="shared" ref="O5:O21" si="11">K5-M5</f>
        <v>2190</v>
      </c>
      <c r="P5" s="26">
        <f t="shared" ref="P5:P21" si="12">L5-N5</f>
        <v>-344.2</v>
      </c>
      <c r="Q5" s="21">
        <f>O5/NFA_in_yen!C4*100</f>
        <v>7.3002433414447152</v>
      </c>
      <c r="R5" s="21">
        <f>P5/NFA_in_yen!J4*100</f>
        <v>-9.9107399942412897</v>
      </c>
      <c r="S5" s="21">
        <f t="shared" ref="S5:S21" si="13">((1+Q5/100)/(1+B5/100)-1)*100</f>
        <v>5.4429067665789921</v>
      </c>
      <c r="T5" s="21">
        <f t="shared" ref="T5:T21" si="14">((1+R5/100)/(1+B5/100)-1)*100</f>
        <v>-11.470159361808141</v>
      </c>
      <c r="U5" s="21">
        <f t="shared" ref="U5:U21" si="15">S5-T5</f>
        <v>16.913066128387133</v>
      </c>
      <c r="V5" s="46">
        <f>NFA_in_yen!D5-NFA_in_yen!D4</f>
        <v>2644</v>
      </c>
      <c r="W5" s="26">
        <f>NFA_in_yen!K5-NFA_in_yen!K4</f>
        <v>-220</v>
      </c>
      <c r="X5" s="11">
        <v>1644.7</v>
      </c>
      <c r="Y5" s="11">
        <v>3196.8</v>
      </c>
      <c r="Z5" s="26">
        <f t="shared" si="2"/>
        <v>999.3</v>
      </c>
      <c r="AA5" s="26">
        <f t="shared" si="3"/>
        <v>-3416.8</v>
      </c>
      <c r="AB5" s="21">
        <f>Z5/NFA_in_yen!D4*100</f>
        <v>5.5544438886109724</v>
      </c>
      <c r="AC5" s="21">
        <f>AA5/NFA_in_yen!K4*100</f>
        <v>-9.4240953221535744</v>
      </c>
      <c r="AD5" s="21">
        <f t="shared" ref="AD5:AD21" si="16">((1+AB5/100)/(1+B5/100)-1)*100</f>
        <v>3.7273266037967101</v>
      </c>
      <c r="AE5" s="21">
        <f t="shared" ref="AE5:AE21" si="17">((1+AC5/100)/(1+B5/100)-1)*100</f>
        <v>-10.991938370042897</v>
      </c>
      <c r="AF5" s="21">
        <f t="shared" ref="AF5:AF21" si="18">AD5-AE5</f>
        <v>14.719264973839607</v>
      </c>
      <c r="AG5" s="46">
        <f>NFA_in_yen!E5-NFA_in_yen!E4</f>
        <v>7984</v>
      </c>
      <c r="AH5" s="26">
        <f>NFA_in_yen!L5-NFA_in_yen!L4</f>
        <v>11121</v>
      </c>
      <c r="AI5" s="11">
        <v>3828.8</v>
      </c>
      <c r="AJ5" s="11">
        <v>6417</v>
      </c>
      <c r="AK5" s="26">
        <f t="shared" si="4"/>
        <v>4155.2</v>
      </c>
      <c r="AL5" s="26">
        <f t="shared" si="5"/>
        <v>4704</v>
      </c>
      <c r="AM5" s="21">
        <f>AK5/NFA_in_yen!E4*100</f>
        <v>4.459613196814562</v>
      </c>
      <c r="AN5" s="21">
        <f>AL5/NFA_in_yen!L4*100</f>
        <v>15.774118909493309</v>
      </c>
      <c r="AO5" s="21">
        <f t="shared" ref="AO5:AO21" si="19">((1+AM5/100)/(1+B5/100)-1)*100</f>
        <v>2.651447118668937</v>
      </c>
      <c r="AP5" s="21">
        <f t="shared" ref="AP5:AP21" si="20">((1+AN5/100)/(1+B5/100)-1)*100</f>
        <v>13.770101968085303</v>
      </c>
      <c r="AQ5" s="21">
        <f t="shared" ref="AQ5:AQ21" si="21">AO5-AP5</f>
        <v>-11.118654849416366</v>
      </c>
      <c r="AR5" s="46">
        <f>NFA_in_yen!G5-NFA_in_yen!G4</f>
        <v>24759</v>
      </c>
      <c r="AS5" s="26">
        <f>NFA_in_yen!N5-NFA_in_yen!N4</f>
        <v>11895</v>
      </c>
      <c r="AT5" s="11">
        <v>23639.1</v>
      </c>
      <c r="AU5" s="11">
        <v>8325.9</v>
      </c>
      <c r="AV5" s="26">
        <f t="shared" si="6"/>
        <v>1119.9000000000015</v>
      </c>
      <c r="AW5" s="26">
        <f t="shared" si="7"/>
        <v>3569.1000000000004</v>
      </c>
      <c r="AX5" s="21">
        <f>AV5/NFA_in_yen!G4*100</f>
        <v>0.82727595071359039</v>
      </c>
      <c r="AY5" s="21">
        <f>AW5/NFA_in_yen!N4*100</f>
        <v>2.7664653949601981</v>
      </c>
      <c r="AZ5" s="21">
        <f t="shared" ref="AZ5:AZ21" si="22">((1+AX5/100)/(1+B5/100)-1)*100</f>
        <v>-0.91801540684112171</v>
      </c>
      <c r="BA5" s="21">
        <f t="shared" ref="BA5:BA21" si="23">((1+AY5/100)/(1+B5/100)-1)*100</f>
        <v>0.9876072218211851</v>
      </c>
      <c r="BB5" s="21">
        <f t="shared" ref="BB5:BB21" si="24">AZ5-BA5</f>
        <v>-1.9056226286623068</v>
      </c>
      <c r="BC5" s="46">
        <f>NFA_in_yen!H5-NFA_in_yen!H4</f>
        <v>3451</v>
      </c>
      <c r="BD5" s="11">
        <v>766.06</v>
      </c>
      <c r="BE5" s="26">
        <f t="shared" ref="BE5:BE21" si="25">BC5-BD5</f>
        <v>2684.94</v>
      </c>
      <c r="BF5" s="27">
        <f>BE5/NFA_in_yen!H4*100</f>
        <v>10.636795816496315</v>
      </c>
      <c r="BG5" s="8">
        <f>((1+BE5/NFA_in_yen!H4)/(1+B5/100)-1)*100</f>
        <v>8.721704470971293</v>
      </c>
      <c r="BK5" s="12"/>
      <c r="BL5" s="12"/>
    </row>
    <row r="6" spans="1:64">
      <c r="A6" s="11">
        <v>1998</v>
      </c>
      <c r="B6" s="8">
        <f>yield!M6</f>
        <v>0.66326943298518903</v>
      </c>
      <c r="C6" s="47"/>
      <c r="D6" s="26">
        <f t="shared" si="0"/>
        <v>-18877.509999999998</v>
      </c>
      <c r="E6" s="26">
        <f t="shared" si="1"/>
        <v>-13284.9</v>
      </c>
      <c r="F6" s="21">
        <f>D6/(NFA_in_yen!C5+NFA_in_yen!D5+NFA_in_yen!E5+NFA_in_yen!G5+NFA_in_yen!H5)*100</f>
        <v>-5.4567005153909074</v>
      </c>
      <c r="G6" s="27">
        <f>E6/(NFA_in_yen!J5+NFA_in_yen!K5+NFA_in_yen!L5+NFA_in_yen!N5)*100</f>
        <v>-6.0002709965899594</v>
      </c>
      <c r="H6" s="21">
        <f t="shared" si="8"/>
        <v>-6.0796455180212039</v>
      </c>
      <c r="I6" s="21">
        <f t="shared" si="9"/>
        <v>-6.6196344179058064</v>
      </c>
      <c r="J6" s="21">
        <f t="shared" si="10"/>
        <v>0.53998889988460252</v>
      </c>
      <c r="K6" s="46">
        <f>NFA_in_yen!C6-NFA_in_yen!C5</f>
        <v>-4118</v>
      </c>
      <c r="L6" s="26">
        <f>NFA_in_yen!J6-NFA_in_yen!J5</f>
        <v>-506</v>
      </c>
      <c r="M6" s="11">
        <v>3161.5</v>
      </c>
      <c r="N6" s="11">
        <v>417.9</v>
      </c>
      <c r="O6" s="26">
        <f t="shared" si="11"/>
        <v>-7279.5</v>
      </c>
      <c r="P6" s="26">
        <f t="shared" si="12"/>
        <v>-923.9</v>
      </c>
      <c r="Q6" s="21">
        <f>O6/NFA_in_yen!C5*100</f>
        <v>-20.601969774155204</v>
      </c>
      <c r="R6" s="21">
        <f>P6/NFA_in_yen!J5*100</f>
        <v>-26.254617789144639</v>
      </c>
      <c r="S6" s="21">
        <f t="shared" si="13"/>
        <v>-21.125122725422052</v>
      </c>
      <c r="T6" s="21">
        <f t="shared" si="14"/>
        <v>-26.740525490332836</v>
      </c>
      <c r="U6" s="21">
        <f t="shared" si="15"/>
        <v>5.6154027649107832</v>
      </c>
      <c r="V6" s="46">
        <f>NFA_in_yen!D6-NFA_in_yen!D5</f>
        <v>3572</v>
      </c>
      <c r="W6" s="26">
        <f>NFA_in_yen!K6-NFA_in_yen!K5</f>
        <v>-1123</v>
      </c>
      <c r="X6" s="11">
        <v>1850.8</v>
      </c>
      <c r="Y6" s="11">
        <v>1827.8</v>
      </c>
      <c r="Z6" s="26">
        <f t="shared" si="2"/>
        <v>1721.2</v>
      </c>
      <c r="AA6" s="26">
        <f t="shared" si="3"/>
        <v>-2950.8</v>
      </c>
      <c r="AB6" s="21">
        <f>Z6/NFA_in_yen!D5*100</f>
        <v>8.3411679185849277</v>
      </c>
      <c r="AC6" s="21">
        <f>AA6/NFA_in_yen!K5*100</f>
        <v>-8.1884781884781894</v>
      </c>
      <c r="AD6" s="21">
        <f t="shared" si="16"/>
        <v>7.6273088772575326</v>
      </c>
      <c r="AE6" s="21">
        <f t="shared" si="17"/>
        <v>-8.7934235310688678</v>
      </c>
      <c r="AF6" s="21">
        <f t="shared" si="18"/>
        <v>16.420732408326401</v>
      </c>
      <c r="AG6" s="46">
        <f>NFA_in_yen!E6-NFA_in_yen!E5</f>
        <v>2355</v>
      </c>
      <c r="AH6" s="26">
        <f>NFA_in_yen!L6-NFA_in_yen!L5</f>
        <v>479</v>
      </c>
      <c r="AI6" s="11">
        <v>10865.8</v>
      </c>
      <c r="AJ6" s="11">
        <v>5089.7</v>
      </c>
      <c r="AK6" s="26">
        <f t="shared" si="4"/>
        <v>-8510.7999999999993</v>
      </c>
      <c r="AL6" s="26">
        <f t="shared" si="5"/>
        <v>-4610.7</v>
      </c>
      <c r="AM6" s="21">
        <f>AK6/NFA_in_yen!E5*100</f>
        <v>-8.4133731390498028</v>
      </c>
      <c r="AN6" s="21">
        <f>AL6/NFA_in_yen!L5*100</f>
        <v>-11.26154071613502</v>
      </c>
      <c r="AO6" s="21">
        <f t="shared" si="19"/>
        <v>-9.0168366507086368</v>
      </c>
      <c r="AP6" s="21">
        <f t="shared" si="20"/>
        <v>-11.846237675658788</v>
      </c>
      <c r="AQ6" s="21">
        <f t="shared" si="21"/>
        <v>2.8294010249501511</v>
      </c>
      <c r="AR6" s="46">
        <f>NFA_in_yen!G6-NFA_in_yen!G5</f>
        <v>-7741</v>
      </c>
      <c r="AS6" s="26">
        <f>NFA_in_yen!N6-NFA_in_yen!N5</f>
        <v>-17276</v>
      </c>
      <c r="AT6" s="11">
        <v>-5765</v>
      </c>
      <c r="AU6" s="11">
        <v>-12476.5</v>
      </c>
      <c r="AV6" s="26">
        <f t="shared" si="6"/>
        <v>-1976</v>
      </c>
      <c r="AW6" s="26">
        <f t="shared" si="7"/>
        <v>-4799.5</v>
      </c>
      <c r="AX6" s="21">
        <f>AV6/NFA_in_yen!G5*100</f>
        <v>-1.233989670956904</v>
      </c>
      <c r="AY6" s="21">
        <f>AW6/NFA_in_yen!N5*100</f>
        <v>-3.4061231441791811</v>
      </c>
      <c r="AZ6" s="21">
        <f t="shared" si="22"/>
        <v>-1.8847580797136221</v>
      </c>
      <c r="BA6" s="21">
        <f t="shared" si="23"/>
        <v>-4.0425793838074098</v>
      </c>
      <c r="BB6" s="21">
        <f t="shared" si="24"/>
        <v>2.1578213040937877</v>
      </c>
      <c r="BC6" s="46">
        <f>NFA_in_yen!H6-NFA_in_yen!H5</f>
        <v>-3831</v>
      </c>
      <c r="BD6" s="11">
        <v>-998.59</v>
      </c>
      <c r="BE6" s="26">
        <f t="shared" si="25"/>
        <v>-2832.41</v>
      </c>
      <c r="BF6" s="27">
        <f>BE6/NFA_in_yen!H5*100</f>
        <v>-9.8714320565991702</v>
      </c>
      <c r="BG6" s="8">
        <f>((1+BE6/NFA_in_yen!H5)/(1+B6/100)-1)*100</f>
        <v>-10.465288430352093</v>
      </c>
      <c r="BK6" s="12"/>
      <c r="BL6" s="12"/>
    </row>
    <row r="7" spans="1:64">
      <c r="A7" s="11">
        <v>1999</v>
      </c>
      <c r="B7" s="8">
        <f>yield!M7</f>
        <v>-0.32944957814319398</v>
      </c>
      <c r="C7" s="47"/>
      <c r="D7" s="26">
        <f t="shared" si="0"/>
        <v>-29999.360000000001</v>
      </c>
      <c r="E7" s="26">
        <f t="shared" si="1"/>
        <v>31443.8</v>
      </c>
      <c r="F7" s="21">
        <f>D7/(NFA_in_yen!C6+NFA_in_yen!D6+NFA_in_yen!E6+NFA_in_yen!G6+NFA_in_yen!H6)*100</f>
        <v>-8.9233881042749896</v>
      </c>
      <c r="G7" s="27">
        <f>E7/(NFA_in_yen!J6+NFA_in_yen!K6+NFA_in_yen!L6+NFA_in_yen!N6)*100</f>
        <v>15.49115918395499</v>
      </c>
      <c r="H7" s="21">
        <f t="shared" si="8"/>
        <v>-8.6223448047169864</v>
      </c>
      <c r="I7" s="21">
        <f t="shared" si="9"/>
        <v>15.872901970679653</v>
      </c>
      <c r="J7" s="21">
        <f t="shared" si="10"/>
        <v>-24.495246775396637</v>
      </c>
      <c r="K7" s="46">
        <f>NFA_in_yen!C7-NFA_in_yen!C6</f>
        <v>-5791</v>
      </c>
      <c r="L7" s="26">
        <f>NFA_in_yen!J7-NFA_in_yen!J6</f>
        <v>1700</v>
      </c>
      <c r="M7" s="11">
        <v>2590.8000000000002</v>
      </c>
      <c r="N7" s="11">
        <v>1451.4</v>
      </c>
      <c r="O7" s="26">
        <f t="shared" si="11"/>
        <v>-8381.7999999999993</v>
      </c>
      <c r="P7" s="26">
        <f t="shared" si="12"/>
        <v>248.59999999999991</v>
      </c>
      <c r="Q7" s="21">
        <f>O7/NFA_in_yen!C6*100</f>
        <v>-26.850973859559197</v>
      </c>
      <c r="R7" s="21">
        <f>P7/NFA_in_yen!J6*100</f>
        <v>8.2509127115831369</v>
      </c>
      <c r="S7" s="21">
        <f t="shared" si="13"/>
        <v>-26.609188139488872</v>
      </c>
      <c r="T7" s="21">
        <f t="shared" si="14"/>
        <v>8.6087236936184688</v>
      </c>
      <c r="U7" s="21">
        <f t="shared" si="15"/>
        <v>-35.217911833107337</v>
      </c>
      <c r="V7" s="46">
        <f>NFA_in_yen!D7-NFA_in_yen!D6</f>
        <v>4963</v>
      </c>
      <c r="W7" s="26">
        <f>NFA_in_yen!K7-NFA_in_yen!K6</f>
        <v>49501</v>
      </c>
      <c r="X7" s="11">
        <v>3643.9</v>
      </c>
      <c r="Y7" s="11">
        <v>11729.4</v>
      </c>
      <c r="Z7" s="26">
        <f t="shared" si="2"/>
        <v>1319.1</v>
      </c>
      <c r="AA7" s="26">
        <f t="shared" si="3"/>
        <v>37771.599999999999</v>
      </c>
      <c r="AB7" s="21">
        <f>Z7/NFA_in_yen!D6*100</f>
        <v>5.4492502168794141</v>
      </c>
      <c r="AC7" s="21">
        <f>AA7/NFA_in_yen!K6*100</f>
        <v>108.18778105576719</v>
      </c>
      <c r="AD7" s="21">
        <f t="shared" si="16"/>
        <v>5.7978006247223268</v>
      </c>
      <c r="AE7" s="21">
        <f t="shared" si="17"/>
        <v>108.87592189930717</v>
      </c>
      <c r="AF7" s="21">
        <f t="shared" si="18"/>
        <v>-103.07812127458484</v>
      </c>
      <c r="AG7" s="46">
        <f>NFA_in_yen!E7-NFA_in_yen!E6</f>
        <v>-995</v>
      </c>
      <c r="AH7" s="26">
        <f>NFA_in_yen!L7-NFA_in_yen!L6</f>
        <v>-7443</v>
      </c>
      <c r="AI7" s="11">
        <v>13846.3</v>
      </c>
      <c r="AJ7" s="11">
        <v>2758.8</v>
      </c>
      <c r="AK7" s="26">
        <f t="shared" si="4"/>
        <v>-14841.3</v>
      </c>
      <c r="AL7" s="26">
        <f t="shared" si="5"/>
        <v>-10201.799999999999</v>
      </c>
      <c r="AM7" s="21">
        <f>AK7/NFA_in_yen!E6*100</f>
        <v>-14.337619429443643</v>
      </c>
      <c r="AN7" s="21">
        <f>AL7/NFA_in_yen!L6*100</f>
        <v>-24.62953574273919</v>
      </c>
      <c r="AO7" s="21">
        <f t="shared" si="19"/>
        <v>-14.0544722508411</v>
      </c>
      <c r="AP7" s="21">
        <f t="shared" si="20"/>
        <v>-24.380407313640372</v>
      </c>
      <c r="AQ7" s="21">
        <f t="shared" si="21"/>
        <v>10.325935062799273</v>
      </c>
      <c r="AR7" s="46">
        <f>NFA_in_yen!G7-NFA_in_yen!G6</f>
        <v>-35742</v>
      </c>
      <c r="AS7" s="26">
        <f>NFA_in_yen!N7-NFA_in_yen!N6</f>
        <v>-28175</v>
      </c>
      <c r="AT7" s="11">
        <v>-31906.9</v>
      </c>
      <c r="AU7" s="11">
        <v>-31800.400000000001</v>
      </c>
      <c r="AV7" s="26">
        <f t="shared" si="6"/>
        <v>-3835.0999999999985</v>
      </c>
      <c r="AW7" s="26">
        <f t="shared" si="7"/>
        <v>3625.4000000000015</v>
      </c>
      <c r="AX7" s="21">
        <f>AV7/NFA_in_yen!G6*100</f>
        <v>-2.5166349497998546</v>
      </c>
      <c r="AY7" s="21">
        <f>AW7/NFA_in_yen!N6*100</f>
        <v>2.9324123204348398</v>
      </c>
      <c r="AZ7" s="21">
        <f t="shared" si="22"/>
        <v>-2.1944148621627746</v>
      </c>
      <c r="BA7" s="21">
        <f t="shared" si="23"/>
        <v>3.2726436091424782</v>
      </c>
      <c r="BB7" s="21">
        <f t="shared" si="24"/>
        <v>-5.4670584713052524</v>
      </c>
      <c r="BC7" s="46">
        <f>NFA_in_yen!H7-NFA_in_yen!H6</f>
        <v>4536</v>
      </c>
      <c r="BD7" s="11">
        <v>8796.26</v>
      </c>
      <c r="BE7" s="26">
        <f t="shared" si="25"/>
        <v>-4260.26</v>
      </c>
      <c r="BF7" s="27">
        <f>BE7/NFA_in_yen!H6*100</f>
        <v>-17.135628670259837</v>
      </c>
      <c r="BG7" s="8">
        <f>((1+BE7/NFA_in_yen!H6)/(1+B7/100)-1)*100</f>
        <v>-16.861729990437791</v>
      </c>
      <c r="BK7" s="12"/>
      <c r="BL7" s="12"/>
    </row>
    <row r="8" spans="1:64">
      <c r="A8" s="11">
        <v>2000</v>
      </c>
      <c r="B8" s="8">
        <f>yield!M8</f>
        <v>-0.65301515640115204</v>
      </c>
      <c r="C8" s="47"/>
      <c r="D8" s="26">
        <f t="shared" si="0"/>
        <v>19437.28</v>
      </c>
      <c r="E8" s="26">
        <f t="shared" si="1"/>
        <v>-15817.3</v>
      </c>
      <c r="F8" s="21">
        <f>D8/(NFA_in_yen!C7+NFA_in_yen!D7+NFA_in_yen!E7+NFA_in_yen!G7+NFA_in_yen!H7)*100</f>
        <v>6.4115794022278738</v>
      </c>
      <c r="G8" s="27">
        <f>E8/(NFA_in_yen!J7+NFA_in_yen!K7+NFA_in_yen!L7+NFA_in_yen!N7)*100</f>
        <v>-7.2369853862977092</v>
      </c>
      <c r="H8" s="21">
        <f t="shared" si="8"/>
        <v>7.1110306666586354</v>
      </c>
      <c r="I8" s="21">
        <f t="shared" si="9"/>
        <v>-6.6272471582923824</v>
      </c>
      <c r="J8" s="21">
        <f t="shared" si="10"/>
        <v>13.738277824951018</v>
      </c>
      <c r="K8" s="46">
        <f>NFA_in_yen!C8-NFA_in_yen!C7</f>
        <v>6568</v>
      </c>
      <c r="L8" s="26">
        <f>NFA_in_yen!J8-NFA_in_yen!J7</f>
        <v>1069</v>
      </c>
      <c r="M8" s="11">
        <v>3400.7</v>
      </c>
      <c r="N8" s="11">
        <v>896.9</v>
      </c>
      <c r="O8" s="26">
        <f t="shared" si="11"/>
        <v>3167.3</v>
      </c>
      <c r="P8" s="26">
        <f t="shared" si="12"/>
        <v>172.10000000000002</v>
      </c>
      <c r="Q8" s="21">
        <f>O8/NFA_in_yen!C7*100</f>
        <v>12.457423795476894</v>
      </c>
      <c r="R8" s="21">
        <f>P8/NFA_in_yen!J7*100</f>
        <v>3.6516019520475282</v>
      </c>
      <c r="S8" s="21">
        <f t="shared" si="13"/>
        <v>13.196614846960575</v>
      </c>
      <c r="T8" s="21">
        <f t="shared" si="14"/>
        <v>4.3329116784222466</v>
      </c>
      <c r="U8" s="21">
        <f t="shared" si="15"/>
        <v>8.8637031685383292</v>
      </c>
      <c r="V8" s="46">
        <f>NFA_in_yen!D8-NFA_in_yen!D7</f>
        <v>963</v>
      </c>
      <c r="W8" s="26">
        <f>NFA_in_yen!K8-NFA_in_yen!K7</f>
        <v>-21192</v>
      </c>
      <c r="X8" s="11">
        <v>2139.6</v>
      </c>
      <c r="Y8" s="11">
        <v>-118.4</v>
      </c>
      <c r="Z8" s="26">
        <f t="shared" si="2"/>
        <v>-1176.5999999999999</v>
      </c>
      <c r="AA8" s="26">
        <f t="shared" si="3"/>
        <v>-21073.599999999999</v>
      </c>
      <c r="AB8" s="21">
        <f>Z8/NFA_in_yen!D7*100</f>
        <v>-4.0335961604388064</v>
      </c>
      <c r="AC8" s="21">
        <f>AA8/NFA_in_yen!K7*100</f>
        <v>-24.964579335181366</v>
      </c>
      <c r="AD8" s="21">
        <f t="shared" si="16"/>
        <v>-3.4028018156360473</v>
      </c>
      <c r="AE8" s="21">
        <f t="shared" si="17"/>
        <v>-24.471365907132181</v>
      </c>
      <c r="AF8" s="21">
        <f t="shared" si="18"/>
        <v>21.068564091496135</v>
      </c>
      <c r="AG8" s="46">
        <f>NFA_in_yen!E8-NFA_in_yen!E7</f>
        <v>17464</v>
      </c>
      <c r="AH8" s="26">
        <f>NFA_in_yen!L8-NFA_in_yen!L7</f>
        <v>4409</v>
      </c>
      <c r="AI8" s="11">
        <v>6787.6</v>
      </c>
      <c r="AJ8" s="11">
        <v>5198.8</v>
      </c>
      <c r="AK8" s="26">
        <f t="shared" si="4"/>
        <v>10676.4</v>
      </c>
      <c r="AL8" s="26">
        <f t="shared" si="5"/>
        <v>-789.80000000000018</v>
      </c>
      <c r="AM8" s="21">
        <f>AK8/NFA_in_yen!E7*100</f>
        <v>10.414171169940888</v>
      </c>
      <c r="AN8" s="21">
        <f>AL8/NFA_in_yen!L7*100</f>
        <v>-2.3244452292659963</v>
      </c>
      <c r="AO8" s="21">
        <f t="shared" si="19"/>
        <v>11.139931769207688</v>
      </c>
      <c r="AP8" s="21">
        <f t="shared" si="20"/>
        <v>-1.6824165076536168</v>
      </c>
      <c r="AQ8" s="21">
        <f t="shared" si="21"/>
        <v>12.822348276861305</v>
      </c>
      <c r="AR8" s="46">
        <f>NFA_in_yen!G8-NFA_in_yen!G7</f>
        <v>591</v>
      </c>
      <c r="AS8" s="26">
        <f>NFA_in_yen!N8-NFA_in_yen!N7</f>
        <v>4945</v>
      </c>
      <c r="AT8" s="11">
        <v>639.9</v>
      </c>
      <c r="AU8" s="11">
        <v>-929</v>
      </c>
      <c r="AV8" s="26">
        <f t="shared" si="6"/>
        <v>-48.899999999999977</v>
      </c>
      <c r="AW8" s="26">
        <f t="shared" si="7"/>
        <v>5874</v>
      </c>
      <c r="AX8" s="21">
        <f>AV8/NFA_in_yen!G7*100</f>
        <v>-4.1920993073177398E-2</v>
      </c>
      <c r="AY8" s="21">
        <f>AW8/NFA_in_yen!N7*100</f>
        <v>6.153556051415821</v>
      </c>
      <c r="AZ8" s="21">
        <f t="shared" si="22"/>
        <v>0.61511093093566949</v>
      </c>
      <c r="BA8" s="21">
        <f t="shared" si="23"/>
        <v>6.8513113090774791</v>
      </c>
      <c r="BB8" s="21">
        <f t="shared" si="24"/>
        <v>-6.2362003781418096</v>
      </c>
      <c r="BC8" s="46">
        <f>NFA_in_yen!H8-NFA_in_yen!H7</f>
        <v>12080</v>
      </c>
      <c r="BD8" s="11">
        <v>5260.92</v>
      </c>
      <c r="BE8" s="26">
        <f t="shared" si="25"/>
        <v>6819.08</v>
      </c>
      <c r="BF8" s="27">
        <f>BE8/NFA_in_yen!H7*100</f>
        <v>23.195727600517042</v>
      </c>
      <c r="BG8" s="8">
        <f>((1+BE8/NFA_in_yen!H7)/(1+B8/100)-1)*100</f>
        <v>24.00550232547376</v>
      </c>
      <c r="BK8" s="12"/>
      <c r="BL8" s="12"/>
    </row>
    <row r="9" spans="1:64">
      <c r="A9" s="11">
        <v>2001</v>
      </c>
      <c r="B9" s="8">
        <f>yield!M9</f>
        <v>-0.80337580134707898</v>
      </c>
      <c r="C9" s="47"/>
      <c r="D9" s="26">
        <f t="shared" si="0"/>
        <v>21511.51</v>
      </c>
      <c r="E9" s="26">
        <f t="shared" si="1"/>
        <v>-13837.6</v>
      </c>
      <c r="F9" s="21">
        <f>D9/(NFA_in_yen!C8+NFA_in_yen!D8+NFA_in_yen!E8+NFA_in_yen!G8+NFA_in_yen!H8)*100</f>
        <v>6.3115997946160043</v>
      </c>
      <c r="G9" s="27">
        <f>E9/(NFA_in_yen!J8+NFA_in_yen!K8+NFA_in_yen!L8+NFA_in_yen!N8)*100</f>
        <v>-6.6593196113439816</v>
      </c>
      <c r="H9" s="21">
        <f t="shared" si="8"/>
        <v>7.1725985167746309</v>
      </c>
      <c r="I9" s="21">
        <f t="shared" si="9"/>
        <v>-5.90337005649475</v>
      </c>
      <c r="J9" s="21">
        <f t="shared" si="10"/>
        <v>13.075968573269382</v>
      </c>
      <c r="K9" s="46">
        <f>NFA_in_yen!C9-NFA_in_yen!C8</f>
        <v>7562</v>
      </c>
      <c r="L9" s="26">
        <f>NFA_in_yen!J9-NFA_in_yen!J8</f>
        <v>850</v>
      </c>
      <c r="M9" s="11">
        <v>4658.6000000000004</v>
      </c>
      <c r="N9" s="11">
        <v>758.7</v>
      </c>
      <c r="O9" s="26">
        <f t="shared" si="11"/>
        <v>2903.3999999999996</v>
      </c>
      <c r="P9" s="26">
        <f t="shared" si="12"/>
        <v>91.299999999999955</v>
      </c>
      <c r="Q9" s="21">
        <f>O9/NFA_in_yen!C8*100</f>
        <v>9.0751101803519507</v>
      </c>
      <c r="R9" s="21">
        <f>P9/NFA_in_yen!J8*100</f>
        <v>1.5790383950190237</v>
      </c>
      <c r="S9" s="21">
        <f t="shared" si="13"/>
        <v>9.9584900811908525</v>
      </c>
      <c r="T9" s="21">
        <f t="shared" si="14"/>
        <v>2.4017089448478135</v>
      </c>
      <c r="U9" s="21">
        <f t="shared" si="15"/>
        <v>7.5567811363430391</v>
      </c>
      <c r="V9" s="46">
        <f>NFA_in_yen!D9-NFA_in_yen!D8</f>
        <v>-168</v>
      </c>
      <c r="W9" s="26">
        <f>NFA_in_yen!K9-NFA_in_yen!K8</f>
        <v>-13659</v>
      </c>
      <c r="X9" s="11">
        <v>1402.2</v>
      </c>
      <c r="Y9" s="11">
        <v>4784.8</v>
      </c>
      <c r="Z9" s="26">
        <f t="shared" si="2"/>
        <v>-1570.2</v>
      </c>
      <c r="AA9" s="26">
        <f t="shared" si="3"/>
        <v>-18443.8</v>
      </c>
      <c r="AB9" s="21">
        <f>Z9/NFA_in_yen!D8*100</f>
        <v>-5.210898350645472</v>
      </c>
      <c r="AC9" s="21">
        <f>AA9/NFA_in_yen!K8*100</f>
        <v>-29.173072664578786</v>
      </c>
      <c r="AD9" s="21">
        <f t="shared" si="16"/>
        <v>-4.4432182898399901</v>
      </c>
      <c r="AE9" s="21">
        <f t="shared" si="17"/>
        <v>-28.5994579880239</v>
      </c>
      <c r="AF9" s="21">
        <f t="shared" si="18"/>
        <v>24.15623969818391</v>
      </c>
      <c r="AG9" s="46">
        <f>NFA_in_yen!E9-NFA_in_yen!E8</f>
        <v>20043</v>
      </c>
      <c r="AH9" s="26">
        <f>NFA_in_yen!L9-NFA_in_yen!L8</f>
        <v>-198</v>
      </c>
      <c r="AI9" s="11">
        <v>11665.4</v>
      </c>
      <c r="AJ9" s="11">
        <v>2653.5</v>
      </c>
      <c r="AK9" s="26">
        <f t="shared" si="4"/>
        <v>8377.6</v>
      </c>
      <c r="AL9" s="26">
        <f t="shared" si="5"/>
        <v>-2851.5</v>
      </c>
      <c r="AM9" s="21">
        <f>AK9/NFA_in_yen!E8*100</f>
        <v>6.9823806904368997</v>
      </c>
      <c r="AN9" s="21">
        <f>AL9/NFA_in_yen!L8*100</f>
        <v>-7.4282960377211031</v>
      </c>
      <c r="AO9" s="21">
        <f t="shared" si="19"/>
        <v>7.8488119476647578</v>
      </c>
      <c r="AP9" s="21">
        <f t="shared" si="20"/>
        <v>-6.6785742860632435</v>
      </c>
      <c r="AQ9" s="21">
        <f t="shared" si="21"/>
        <v>14.527386233728002</v>
      </c>
      <c r="AR9" s="46">
        <f>NFA_in_yen!G9-NFA_in_yen!G8</f>
        <v>-170</v>
      </c>
      <c r="AS9" s="26">
        <f>NFA_in_yen!N9-NFA_in_yen!N8</f>
        <v>5271</v>
      </c>
      <c r="AT9" s="11">
        <v>-5613.1</v>
      </c>
      <c r="AU9" s="11">
        <v>-2095.4</v>
      </c>
      <c r="AV9" s="26">
        <f t="shared" si="6"/>
        <v>5443.1</v>
      </c>
      <c r="AW9" s="26">
        <f t="shared" si="7"/>
        <v>7366.4</v>
      </c>
      <c r="AX9" s="21">
        <f>AV9/NFA_in_yen!G8*100</f>
        <v>4.6427383379250928</v>
      </c>
      <c r="AY9" s="21">
        <f>AW9/NFA_in_yen!N8*100</f>
        <v>7.3369056393298937</v>
      </c>
      <c r="AZ9" s="21">
        <f t="shared" si="22"/>
        <v>5.4902212482208057</v>
      </c>
      <c r="BA9" s="21">
        <f t="shared" si="23"/>
        <v>8.2062081310096957</v>
      </c>
      <c r="BB9" s="21">
        <f t="shared" si="24"/>
        <v>-2.71598688278889</v>
      </c>
      <c r="BC9" s="46">
        <f>NFA_in_yen!H9-NFA_in_yen!H8</f>
        <v>11294</v>
      </c>
      <c r="BD9" s="11">
        <v>4936.3900000000003</v>
      </c>
      <c r="BE9" s="26">
        <f t="shared" si="25"/>
        <v>6357.61</v>
      </c>
      <c r="BF9" s="27">
        <f>BE9/NFA_in_yen!H8*100</f>
        <v>15.32766767925165</v>
      </c>
      <c r="BG9" s="8">
        <f>((1+BE9/NFA_in_yen!H8)/(1+B9/100)-1)*100</f>
        <v>16.261685930253456</v>
      </c>
      <c r="BK9" s="12"/>
      <c r="BL9" s="12"/>
    </row>
    <row r="10" spans="1:64">
      <c r="A10" s="11">
        <v>2002</v>
      </c>
      <c r="B10" s="8">
        <f>yield!M10</f>
        <v>-0.89967826042920995</v>
      </c>
      <c r="C10" s="47"/>
      <c r="D10" s="26">
        <f t="shared" si="0"/>
        <v>-29026.118295639702</v>
      </c>
      <c r="E10" s="26">
        <f t="shared" si="1"/>
        <v>-10931.5</v>
      </c>
      <c r="F10" s="21">
        <f>D10/(NFA_in_yen!C9+NFA_in_yen!D9+NFA_in_yen!E9+NFA_in_yen!G9+NFA_in_yen!H9)*100</f>
        <v>-7.6508142882551544</v>
      </c>
      <c r="G10" s="27">
        <f>E10/(NFA_in_yen!J9+NFA_in_yen!K9+NFA_in_yen!L9+NFA_in_yen!N9)*100</f>
        <v>-5.4641927050790526</v>
      </c>
      <c r="H10" s="21">
        <f t="shared" si="8"/>
        <v>-6.8124259430433431</v>
      </c>
      <c r="I10" s="21">
        <f t="shared" si="9"/>
        <v>-4.605953204314595</v>
      </c>
      <c r="J10" s="21">
        <f t="shared" si="10"/>
        <v>-2.2064727387287482</v>
      </c>
      <c r="K10" s="46">
        <f>NFA_in_yen!C10-NFA_in_yen!C9</f>
        <v>-3077</v>
      </c>
      <c r="L10" s="26">
        <f>NFA_in_yen!J10-NFA_in_yen!J9</f>
        <v>2737</v>
      </c>
      <c r="M10" s="11">
        <v>4047.6</v>
      </c>
      <c r="N10" s="11">
        <v>1158.5999999999999</v>
      </c>
      <c r="O10" s="26">
        <f t="shared" si="11"/>
        <v>-7124.6</v>
      </c>
      <c r="P10" s="26">
        <f t="shared" si="12"/>
        <v>1578.4</v>
      </c>
      <c r="Q10" s="21">
        <f>O10/NFA_in_yen!C9*100</f>
        <v>-18.011882189356594</v>
      </c>
      <c r="R10" s="21">
        <f>P10/NFA_in_yen!J9*100</f>
        <v>23.799758745476478</v>
      </c>
      <c r="S10" s="21">
        <f t="shared" si="13"/>
        <v>-17.267556379783656</v>
      </c>
      <c r="T10" s="21">
        <f t="shared" si="14"/>
        <v>24.923669845204156</v>
      </c>
      <c r="U10" s="21">
        <f t="shared" si="15"/>
        <v>-42.191226224987815</v>
      </c>
      <c r="V10" s="46">
        <f>NFA_in_yen!D10-NFA_in_yen!D9</f>
        <v>-4688</v>
      </c>
      <c r="W10" s="26">
        <f>NFA_in_yen!K10-NFA_in_yen!K9</f>
        <v>-8806</v>
      </c>
      <c r="X10" s="11">
        <v>4633.3</v>
      </c>
      <c r="Y10" s="11">
        <v>-2062.9</v>
      </c>
      <c r="Z10" s="26">
        <f t="shared" si="2"/>
        <v>-9321.2999999999993</v>
      </c>
      <c r="AA10" s="26">
        <f t="shared" si="3"/>
        <v>-6743.1</v>
      </c>
      <c r="AB10" s="21">
        <f>Z10/NFA_in_yen!D9*100</f>
        <v>-31.10729184048056</v>
      </c>
      <c r="AC10" s="21">
        <f>AA10/NFA_in_yen!K9*100</f>
        <v>-13.605108649597483</v>
      </c>
      <c r="AD10" s="21">
        <f t="shared" si="16"/>
        <v>-30.481852177468195</v>
      </c>
      <c r="AE10" s="21">
        <f t="shared" si="17"/>
        <v>-12.820776124781229</v>
      </c>
      <c r="AF10" s="21">
        <f t="shared" si="18"/>
        <v>-17.661076052686965</v>
      </c>
      <c r="AG10" s="46">
        <f>NFA_in_yen!E10-NFA_in_yen!E9</f>
        <v>1901</v>
      </c>
      <c r="AH10" s="26">
        <f>NFA_in_yen!L10-NFA_in_yen!L9</f>
        <v>-5757</v>
      </c>
      <c r="AI10" s="11">
        <v>5529.2</v>
      </c>
      <c r="AJ10" s="11">
        <v>-923.5</v>
      </c>
      <c r="AK10" s="26">
        <f t="shared" si="4"/>
        <v>-3628.2</v>
      </c>
      <c r="AL10" s="26">
        <f t="shared" si="5"/>
        <v>-4833.5</v>
      </c>
      <c r="AM10" s="21">
        <f>AK10/NFA_in_yen!E9*100</f>
        <v>-2.5911087305838243</v>
      </c>
      <c r="AN10" s="21">
        <f>AL10/NFA_in_yen!L9*100</f>
        <v>-12.656785985493205</v>
      </c>
      <c r="AO10" s="21">
        <f t="shared" si="19"/>
        <v>-1.7067860532275381</v>
      </c>
      <c r="AP10" s="21">
        <f t="shared" si="20"/>
        <v>-11.86384415174847</v>
      </c>
      <c r="AQ10" s="21">
        <f t="shared" si="21"/>
        <v>10.157058098520931</v>
      </c>
      <c r="AR10" s="46">
        <f>NFA_in_yen!G10-NFA_in_yen!G9</f>
        <v>-11277</v>
      </c>
      <c r="AS10" s="26">
        <f>NFA_in_yen!N10-NFA_in_yen!N9</f>
        <v>1955</v>
      </c>
      <c r="AT10" s="11">
        <v>-4830.8999999999996</v>
      </c>
      <c r="AU10" s="11">
        <v>2888.3</v>
      </c>
      <c r="AV10" s="26">
        <f t="shared" si="6"/>
        <v>-6446.1</v>
      </c>
      <c r="AW10" s="26">
        <f t="shared" si="7"/>
        <v>-933.30000000000018</v>
      </c>
      <c r="AX10" s="21">
        <f>AV10/NFA_in_yen!G9*100</f>
        <v>-5.5062399097967871</v>
      </c>
      <c r="AY10" s="21">
        <f>AW10/NFA_in_yen!N9*100</f>
        <v>-0.88319627530211142</v>
      </c>
      <c r="AZ10" s="21">
        <f t="shared" si="22"/>
        <v>-4.6483821328787585</v>
      </c>
      <c r="BA10" s="21">
        <f t="shared" si="23"/>
        <v>1.6631616162077201E-2</v>
      </c>
      <c r="BB10" s="21">
        <f t="shared" si="24"/>
        <v>-4.6650137490408357</v>
      </c>
      <c r="BC10" s="46">
        <f>NFA_in_yen!H10-NFA_in_yen!H9</f>
        <v>3291</v>
      </c>
      <c r="BD10" s="11">
        <v>5796.9182956396999</v>
      </c>
      <c r="BE10" s="26">
        <f t="shared" si="25"/>
        <v>-2505.9182956396999</v>
      </c>
      <c r="BF10" s="27">
        <f>BE10/NFA_in_yen!H9*100</f>
        <v>-4.7485755621157049</v>
      </c>
      <c r="BG10" s="8">
        <f>((1+BE10/NFA_in_yen!H9)/(1+B10/100)-1)*100</f>
        <v>-3.8838393600791221</v>
      </c>
      <c r="BK10" s="12"/>
      <c r="BL10" s="12"/>
    </row>
    <row r="11" spans="1:64">
      <c r="A11" s="11">
        <v>2003</v>
      </c>
      <c r="B11" s="8">
        <f>yield!M11</f>
        <v>-0.247839455387176</v>
      </c>
      <c r="C11" s="47"/>
      <c r="D11" s="26">
        <f t="shared" si="0"/>
        <v>-8297.7799999999952</v>
      </c>
      <c r="E11" s="26">
        <f t="shared" si="1"/>
        <v>7967.2000000000007</v>
      </c>
      <c r="F11" s="21">
        <f>D11/(NFA_in_yen!C10+NFA_in_yen!D10+NFA_in_yen!E10+NFA_in_yen!G10+NFA_in_yen!H10)*100</f>
        <v>-2.2700308587936604</v>
      </c>
      <c r="G11" s="27">
        <f>E11/(NFA_in_yen!J10+NFA_in_yen!K10+NFA_in_yen!L10+NFA_in_yen!N10)*100</f>
        <v>4.1891621885943238</v>
      </c>
      <c r="H11" s="21">
        <f t="shared" si="8"/>
        <v>-2.0272156436171418</v>
      </c>
      <c r="I11" s="21">
        <f t="shared" si="9"/>
        <v>4.4480256064199475</v>
      </c>
      <c r="J11" s="21">
        <f t="shared" si="10"/>
        <v>-6.4752412500370893</v>
      </c>
      <c r="K11" s="46">
        <f>NFA_in_yen!C11-NFA_in_yen!C10</f>
        <v>-546</v>
      </c>
      <c r="L11" s="26">
        <f>NFA_in_yen!J11-NFA_in_yen!J10</f>
        <v>241</v>
      </c>
      <c r="M11" s="11">
        <v>3338.8</v>
      </c>
      <c r="N11" s="11">
        <v>733.2</v>
      </c>
      <c r="O11" s="26">
        <f t="shared" si="11"/>
        <v>-3884.8</v>
      </c>
      <c r="P11" s="26">
        <f t="shared" si="12"/>
        <v>-492.20000000000005</v>
      </c>
      <c r="Q11" s="21">
        <f>O11/NFA_in_yen!C10*100</f>
        <v>-10.649706672514942</v>
      </c>
      <c r="R11" s="21">
        <f>P11/NFA_in_yen!J10*100</f>
        <v>-5.2534955704984529</v>
      </c>
      <c r="S11" s="21">
        <f t="shared" si="13"/>
        <v>-10.427711199774636</v>
      </c>
      <c r="T11" s="21">
        <f t="shared" si="14"/>
        <v>-5.0180929292980796</v>
      </c>
      <c r="U11" s="21">
        <f t="shared" si="15"/>
        <v>-5.4096182704765567</v>
      </c>
      <c r="V11" s="46">
        <f>NFA_in_yen!D11-NFA_in_yen!D10</f>
        <v>4117</v>
      </c>
      <c r="W11" s="26">
        <f>NFA_in_yen!K11-NFA_in_yen!K10</f>
        <v>19328</v>
      </c>
      <c r="X11" s="11">
        <v>499.5</v>
      </c>
      <c r="Y11" s="11">
        <v>9998.9</v>
      </c>
      <c r="Z11" s="26">
        <f t="shared" si="2"/>
        <v>3617.5</v>
      </c>
      <c r="AA11" s="26">
        <f t="shared" si="3"/>
        <v>9329.1</v>
      </c>
      <c r="AB11" s="21">
        <f>Z11/NFA_in_yen!D10*100</f>
        <v>14.311429362661709</v>
      </c>
      <c r="AC11" s="21">
        <f>AA11/NFA_in_yen!K10*100</f>
        <v>22.88956498270236</v>
      </c>
      <c r="AD11" s="21">
        <f t="shared" si="16"/>
        <v>14.595442082216792</v>
      </c>
      <c r="AE11" s="21">
        <f t="shared" si="17"/>
        <v>23.194890528452916</v>
      </c>
      <c r="AF11" s="21">
        <f t="shared" si="18"/>
        <v>-8.5994484462361243</v>
      </c>
      <c r="AG11" s="46">
        <f>NFA_in_yen!E11-NFA_in_yen!E10</f>
        <v>13033</v>
      </c>
      <c r="AH11" s="26">
        <f>NFA_in_yen!L11-NFA_in_yen!L10</f>
        <v>356</v>
      </c>
      <c r="AI11" s="11">
        <v>20043.099999999999</v>
      </c>
      <c r="AJ11" s="11">
        <v>-929.7</v>
      </c>
      <c r="AK11" s="26">
        <f t="shared" si="4"/>
        <v>-7010.0999999999985</v>
      </c>
      <c r="AL11" s="26">
        <f t="shared" si="5"/>
        <v>1285.7</v>
      </c>
      <c r="AM11" s="21">
        <f>AK11/NFA_in_yen!E10*100</f>
        <v>-4.9392641235573453</v>
      </c>
      <c r="AN11" s="21">
        <f>AL11/NFA_in_yen!L10*100</f>
        <v>3.964294523926986</v>
      </c>
      <c r="AO11" s="21">
        <f t="shared" si="19"/>
        <v>-4.7030807579069744</v>
      </c>
      <c r="AP11" s="21">
        <f t="shared" si="20"/>
        <v>4.2225992462893602</v>
      </c>
      <c r="AQ11" s="21">
        <f t="shared" si="21"/>
        <v>-8.9256800041963338</v>
      </c>
      <c r="AR11" s="46">
        <f>NFA_in_yen!G11-NFA_in_yen!G10</f>
        <v>-13147</v>
      </c>
      <c r="AS11" s="26">
        <f>NFA_in_yen!N11-NFA_in_yen!N10</f>
        <v>1882</v>
      </c>
      <c r="AT11" s="11">
        <v>-17635.400000000001</v>
      </c>
      <c r="AU11" s="11">
        <v>4037.4</v>
      </c>
      <c r="AV11" s="26">
        <f t="shared" si="6"/>
        <v>4488.4000000000015</v>
      </c>
      <c r="AW11" s="26">
        <f t="shared" si="7"/>
        <v>-2155.4</v>
      </c>
      <c r="AX11" s="21">
        <f>AV11/NFA_in_yen!G10*100</f>
        <v>4.2426648517846353</v>
      </c>
      <c r="AY11" s="21">
        <f>AW11/NFA_in_yen!N10*100</f>
        <v>-2.0026387185490764</v>
      </c>
      <c r="AZ11" s="21">
        <f t="shared" si="22"/>
        <v>4.5016611997727107</v>
      </c>
      <c r="BA11" s="21">
        <f t="shared" si="23"/>
        <v>-1.759159153627643</v>
      </c>
      <c r="BB11" s="21">
        <f t="shared" si="24"/>
        <v>6.2608203534003533</v>
      </c>
      <c r="BC11" s="46">
        <f>NFA_in_yen!H11-NFA_in_yen!H10</f>
        <v>16020</v>
      </c>
      <c r="BD11" s="11">
        <v>21528.78</v>
      </c>
      <c r="BE11" s="26">
        <f t="shared" si="25"/>
        <v>-5508.7799999999988</v>
      </c>
      <c r="BF11" s="27">
        <f>BE11/NFA_in_yen!H10*100</f>
        <v>-9.8260528334195438</v>
      </c>
      <c r="BG11" s="8">
        <f>((1+BE11/NFA_in_yen!H10)/(1+B11/100)-1)*100</f>
        <v>-9.602010949676254</v>
      </c>
      <c r="BK11" s="12"/>
      <c r="BL11" s="12"/>
    </row>
    <row r="12" spans="1:64">
      <c r="A12" s="11">
        <v>2004</v>
      </c>
      <c r="B12" s="8">
        <f>yield!M12</f>
        <v>-8.2754054945362292E-3</v>
      </c>
      <c r="C12" s="47"/>
      <c r="D12" s="26">
        <f t="shared" si="0"/>
        <v>3489.34</v>
      </c>
      <c r="E12" s="26">
        <f t="shared" si="1"/>
        <v>5465.7999999999993</v>
      </c>
      <c r="F12" s="21">
        <f>D12/(NFA_in_yen!C11+NFA_in_yen!D11+NFA_in_yen!E11+NFA_in_yen!G11+NFA_in_yen!H11)*100</f>
        <v>0.90629147587224335</v>
      </c>
      <c r="G12" s="27">
        <f>E12/(NFA_in_yen!J11+NFA_in_yen!K11+NFA_in_yen!L11+NFA_in_yen!N11)*100</f>
        <v>2.5782926794752652</v>
      </c>
      <c r="H12" s="21">
        <f t="shared" si="8"/>
        <v>0.91464257174842523</v>
      </c>
      <c r="I12" s="21">
        <f t="shared" si="9"/>
        <v>2.5867821516821321</v>
      </c>
      <c r="J12" s="21">
        <f t="shared" si="10"/>
        <v>-1.6721395799337069</v>
      </c>
      <c r="K12" s="46">
        <f>NFA_in_yen!C12-NFA_in_yen!C11</f>
        <v>2649</v>
      </c>
      <c r="L12" s="26">
        <f>NFA_in_yen!J12-NFA_in_yen!J11</f>
        <v>488</v>
      </c>
      <c r="M12" s="11">
        <v>3348.5</v>
      </c>
      <c r="N12" s="11">
        <v>845.6</v>
      </c>
      <c r="O12" s="26">
        <f t="shared" si="11"/>
        <v>-699.5</v>
      </c>
      <c r="P12" s="26">
        <f t="shared" si="12"/>
        <v>-357.6</v>
      </c>
      <c r="Q12" s="21">
        <f>O12/NFA_in_yen!C11*100</f>
        <v>-1.9467327173550038</v>
      </c>
      <c r="R12" s="21">
        <f>P12/NFA_in_yen!J11*100</f>
        <v>-3.7211238293444331</v>
      </c>
      <c r="S12" s="21">
        <f t="shared" si="13"/>
        <v>-1.9386177403394655</v>
      </c>
      <c r="T12" s="21">
        <f t="shared" si="14"/>
        <v>-3.7131557025409156</v>
      </c>
      <c r="U12" s="21">
        <f t="shared" si="15"/>
        <v>1.7745379622014501</v>
      </c>
      <c r="V12" s="46">
        <f>NFA_in_yen!D12-NFA_in_yen!D11</f>
        <v>8578</v>
      </c>
      <c r="W12" s="26">
        <f>NFA_in_yen!K12-NFA_in_yen!K11</f>
        <v>17308</v>
      </c>
      <c r="X12" s="11">
        <v>3422.3</v>
      </c>
      <c r="Y12" s="11">
        <v>10546.2</v>
      </c>
      <c r="Z12" s="26">
        <f t="shared" si="2"/>
        <v>5155.7</v>
      </c>
      <c r="AA12" s="26">
        <f t="shared" si="3"/>
        <v>6761.7999999999993</v>
      </c>
      <c r="AB12" s="21">
        <f>Z12/NFA_in_yen!D11*100</f>
        <v>17.539974144383208</v>
      </c>
      <c r="AC12" s="21">
        <f>AA12/NFA_in_yen!K11*100</f>
        <v>11.253723891154197</v>
      </c>
      <c r="AD12" s="21">
        <f t="shared" si="16"/>
        <v>17.54970185886966</v>
      </c>
      <c r="AE12" s="21">
        <f t="shared" si="17"/>
        <v>11.262931349888516</v>
      </c>
      <c r="AF12" s="21">
        <f t="shared" si="18"/>
        <v>6.2867705089811441</v>
      </c>
      <c r="AG12" s="46">
        <f>NFA_in_yen!E12-NFA_in_yen!E11</f>
        <v>16316</v>
      </c>
      <c r="AH12" s="26">
        <f>NFA_in_yen!L12-NFA_in_yen!L11</f>
        <v>9911</v>
      </c>
      <c r="AI12" s="11">
        <v>15487.2</v>
      </c>
      <c r="AJ12" s="11">
        <v>10703.3</v>
      </c>
      <c r="AK12" s="26">
        <f t="shared" si="4"/>
        <v>828.79999999999927</v>
      </c>
      <c r="AL12" s="26">
        <f t="shared" si="5"/>
        <v>-792.29999999999927</v>
      </c>
      <c r="AM12" s="21">
        <f>AK12/NFA_in_yen!E11*100</f>
        <v>0.5348511541762655</v>
      </c>
      <c r="AN12" s="21">
        <f>AL12/NFA_in_yen!L11*100</f>
        <v>-2.4164328412833944</v>
      </c>
      <c r="AO12" s="21">
        <f t="shared" si="19"/>
        <v>0.54317150931573188</v>
      </c>
      <c r="AP12" s="21">
        <f t="shared" si="20"/>
        <v>-2.4083567370746017</v>
      </c>
      <c r="AQ12" s="21">
        <f t="shared" si="21"/>
        <v>2.9515282463903336</v>
      </c>
      <c r="AR12" s="46">
        <f>NFA_in_yen!G12-NFA_in_yen!G11</f>
        <v>5073</v>
      </c>
      <c r="AS12" s="26">
        <f>NFA_in_yen!N12-NFA_in_yen!N11</f>
        <v>7246</v>
      </c>
      <c r="AT12" s="11">
        <v>5238.2</v>
      </c>
      <c r="AU12" s="11">
        <v>7392.1</v>
      </c>
      <c r="AV12" s="26">
        <f t="shared" si="6"/>
        <v>-165.19999999999982</v>
      </c>
      <c r="AW12" s="26">
        <f t="shared" si="7"/>
        <v>-146.10000000000036</v>
      </c>
      <c r="AX12" s="21">
        <f>AV12/NFA_in_yen!G11*100</f>
        <v>-0.17831507366830354</v>
      </c>
      <c r="AY12" s="21">
        <f>AW12/NFA_in_yen!N11*100</f>
        <v>-0.13341247374669013</v>
      </c>
      <c r="AZ12" s="21">
        <f t="shared" si="22"/>
        <v>-0.17005374081037195</v>
      </c>
      <c r="BA12" s="21">
        <f t="shared" si="23"/>
        <v>-0.12514742470900453</v>
      </c>
      <c r="BB12" s="21">
        <f t="shared" si="24"/>
        <v>-4.4906316101367416E-2</v>
      </c>
      <c r="BC12" s="46">
        <f>NFA_in_yen!H12-NFA_in_yen!H11</f>
        <v>15637</v>
      </c>
      <c r="BD12" s="11">
        <v>17267.46</v>
      </c>
      <c r="BE12" s="26">
        <f t="shared" si="25"/>
        <v>-1630.4599999999991</v>
      </c>
      <c r="BF12" s="27">
        <f>BE12/NFA_in_yen!H11*100</f>
        <v>-2.2619202863365833</v>
      </c>
      <c r="BG12" s="8">
        <f>((1+BE12/NFA_in_yen!H11)/(1+B12/100)-1)*100</f>
        <v>-2.2538313945291044</v>
      </c>
      <c r="BK12" s="12"/>
      <c r="BL12" s="12"/>
    </row>
    <row r="13" spans="1:64">
      <c r="A13" s="11">
        <v>2005</v>
      </c>
      <c r="B13" s="8">
        <f>yield!M13</f>
        <v>-0.27311098237193399</v>
      </c>
      <c r="C13" s="47"/>
      <c r="D13" s="26">
        <f t="shared" si="0"/>
        <v>28361.949999999997</v>
      </c>
      <c r="E13" s="26">
        <f t="shared" si="1"/>
        <v>48278.1</v>
      </c>
      <c r="F13" s="21">
        <f>D13/(NFA_in_yen!C12+NFA_in_yen!D12+NFA_in_yen!E12+NFA_in_yen!G12+NFA_in_yen!H12)*100</f>
        <v>6.5460825451339355</v>
      </c>
      <c r="G13" s="27">
        <f>E13/(NFA_in_yen!J12+NFA_in_yen!K12+NFA_in_yen!L12+NFA_in_yen!N12)*100</f>
        <v>19.550063576652384</v>
      </c>
      <c r="H13" s="21">
        <f t="shared" si="8"/>
        <v>6.8378684973322335</v>
      </c>
      <c r="I13" s="21">
        <f t="shared" si="9"/>
        <v>19.877462091011687</v>
      </c>
      <c r="J13" s="21">
        <f t="shared" si="10"/>
        <v>-13.039593593679452</v>
      </c>
      <c r="K13" s="46">
        <f>NFA_in_yen!C13-NFA_in_yen!C12</f>
        <v>7024</v>
      </c>
      <c r="L13" s="26">
        <f>NFA_in_yen!J13-NFA_in_yen!J12</f>
        <v>1805</v>
      </c>
      <c r="M13" s="11">
        <v>5045.8999999999996</v>
      </c>
      <c r="N13" s="11">
        <v>305.89999999999998</v>
      </c>
      <c r="O13" s="26">
        <f t="shared" si="11"/>
        <v>1978.1000000000004</v>
      </c>
      <c r="P13" s="26">
        <f t="shared" si="12"/>
        <v>1499.1</v>
      </c>
      <c r="Q13" s="21">
        <f>O13/NFA_in_yen!C12*100</f>
        <v>5.1271351183224914</v>
      </c>
      <c r="R13" s="21">
        <f>P13/NFA_in_yen!J12*100</f>
        <v>14.845513963161022</v>
      </c>
      <c r="S13" s="21">
        <f t="shared" si="13"/>
        <v>5.4150351564058896</v>
      </c>
      <c r="T13" s="21">
        <f t="shared" si="14"/>
        <v>15.160028648703317</v>
      </c>
      <c r="U13" s="21">
        <f t="shared" si="15"/>
        <v>-9.7449934922974286</v>
      </c>
      <c r="V13" s="46">
        <f>NFA_in_yen!D13-NFA_in_yen!D12</f>
        <v>10228</v>
      </c>
      <c r="W13" s="26">
        <f>NFA_in_yen!K13-NFA_in_yen!K12</f>
        <v>55449</v>
      </c>
      <c r="X13" s="11">
        <v>2565.3000000000002</v>
      </c>
      <c r="Y13" s="11">
        <v>14904.2</v>
      </c>
      <c r="Z13" s="26">
        <f t="shared" si="2"/>
        <v>7662.7</v>
      </c>
      <c r="AA13" s="26">
        <f t="shared" si="3"/>
        <v>40544.800000000003</v>
      </c>
      <c r="AB13" s="21">
        <f>Z13/NFA_in_yen!D12*100</f>
        <v>20.179869377436006</v>
      </c>
      <c r="AC13" s="21">
        <f>AA13/NFA_in_yen!K12*100</f>
        <v>52.388200483247836</v>
      </c>
      <c r="AD13" s="21">
        <f t="shared" si="16"/>
        <v>20.508992671166769</v>
      </c>
      <c r="AE13" s="21">
        <f t="shared" si="17"/>
        <v>52.805529165069196</v>
      </c>
      <c r="AF13" s="21">
        <f t="shared" si="18"/>
        <v>-32.296536493902423</v>
      </c>
      <c r="AG13" s="46">
        <f>NFA_in_yen!E13-NFA_in_yen!E12</f>
        <v>30019</v>
      </c>
      <c r="AH13" s="26">
        <f>NFA_in_yen!L13-NFA_in_yen!L12</f>
        <v>6418</v>
      </c>
      <c r="AI13" s="11">
        <v>19084.7</v>
      </c>
      <c r="AJ13" s="11">
        <v>5675.5</v>
      </c>
      <c r="AK13" s="26">
        <f t="shared" si="4"/>
        <v>10934.3</v>
      </c>
      <c r="AL13" s="26">
        <f t="shared" si="5"/>
        <v>742.5</v>
      </c>
      <c r="AM13" s="21">
        <f>AK13/NFA_in_yen!E12*100</f>
        <v>6.3840607210626175</v>
      </c>
      <c r="AN13" s="21">
        <f>AL13/NFA_in_yen!L12*100</f>
        <v>1.7389166022623481</v>
      </c>
      <c r="AO13" s="21">
        <f t="shared" si="19"/>
        <v>6.6754029620414768</v>
      </c>
      <c r="AP13" s="21">
        <f t="shared" si="20"/>
        <v>2.0175377016710572</v>
      </c>
      <c r="AQ13" s="21">
        <f t="shared" si="21"/>
        <v>4.6578652603704196</v>
      </c>
      <c r="AR13" s="46">
        <f>NFA_in_yen!G13-NFA_in_yen!G12</f>
        <v>10826</v>
      </c>
      <c r="AS13" s="26">
        <f>NFA_in_yen!N13-NFA_in_yen!N12</f>
        <v>10953</v>
      </c>
      <c r="AT13" s="11">
        <v>12306.9</v>
      </c>
      <c r="AU13" s="11">
        <v>5461.3</v>
      </c>
      <c r="AV13" s="26">
        <f t="shared" si="6"/>
        <v>-1480.8999999999996</v>
      </c>
      <c r="AW13" s="26">
        <f t="shared" si="7"/>
        <v>5491.7</v>
      </c>
      <c r="AX13" s="21">
        <f>AV13/NFA_in_yen!G12*100</f>
        <v>-1.515483329581039</v>
      </c>
      <c r="AY13" s="21">
        <f>AW13/NFA_in_yen!N12*100</f>
        <v>4.7035698379526529</v>
      </c>
      <c r="AZ13" s="21">
        <f t="shared" si="22"/>
        <v>-1.2457746947159731</v>
      </c>
      <c r="BA13" s="21">
        <f t="shared" si="23"/>
        <v>4.9903099047287958</v>
      </c>
      <c r="BB13" s="21">
        <f t="shared" si="24"/>
        <v>-6.2360845994447693</v>
      </c>
      <c r="BC13" s="46">
        <f>NFA_in_yen!H13-NFA_in_yen!H12</f>
        <v>11724</v>
      </c>
      <c r="BD13" s="11">
        <v>2456.25</v>
      </c>
      <c r="BE13" s="26">
        <f t="shared" si="25"/>
        <v>9267.75</v>
      </c>
      <c r="BF13" s="27">
        <f>BE13/NFA_in_yen!H12*100</f>
        <v>10.56515047879617</v>
      </c>
      <c r="BG13" s="8">
        <f>((1+BE13/NFA_in_yen!H12)/(1+B13/100)-1)*100</f>
        <v>10.867943007078363</v>
      </c>
      <c r="BK13" s="12"/>
      <c r="BL13" s="12"/>
    </row>
    <row r="14" spans="1:64">
      <c r="A14" s="11">
        <v>2006</v>
      </c>
      <c r="B14" s="8">
        <f>yield!M14</f>
        <v>0.24066390041427599</v>
      </c>
      <c r="C14" s="47"/>
      <c r="D14" s="26">
        <f t="shared" si="0"/>
        <v>24392.523500000003</v>
      </c>
      <c r="E14" s="26">
        <f t="shared" si="1"/>
        <v>5896</v>
      </c>
      <c r="F14" s="21">
        <f>D14/(NFA_in_yen!C13+NFA_in_yen!D13+NFA_in_yen!E13+NFA_in_yen!G13+NFA_in_yen!H13)*100</f>
        <v>4.8485696310976039</v>
      </c>
      <c r="G14" s="27">
        <f>E14/(NFA_in_yen!J13+NFA_in_yen!K13+NFA_in_yen!L13+NFA_in_yen!N13)*100</f>
        <v>1.8334986674793436</v>
      </c>
      <c r="H14" s="21">
        <f t="shared" si="8"/>
        <v>4.59684278953012</v>
      </c>
      <c r="I14" s="21">
        <f t="shared" si="9"/>
        <v>1.5890105921958941</v>
      </c>
      <c r="J14" s="21">
        <f t="shared" si="10"/>
        <v>3.0078321973342259</v>
      </c>
      <c r="K14" s="46">
        <f>NFA_in_yen!C14-NFA_in_yen!C13</f>
        <v>7871</v>
      </c>
      <c r="L14" s="26">
        <f>NFA_in_yen!J14-NFA_in_yen!J13</f>
        <v>900</v>
      </c>
      <c r="M14" s="11">
        <v>5845.7</v>
      </c>
      <c r="N14" s="11">
        <v>-756.7</v>
      </c>
      <c r="O14" s="26">
        <f t="shared" si="11"/>
        <v>2025.3000000000002</v>
      </c>
      <c r="P14" s="26">
        <f t="shared" si="12"/>
        <v>1656.7</v>
      </c>
      <c r="Q14" s="21">
        <f>O14/NFA_in_yen!C13*100</f>
        <v>4.4409604210064693</v>
      </c>
      <c r="R14" s="21">
        <f>P14/NFA_in_yen!J13*100</f>
        <v>13.918339914307317</v>
      </c>
      <c r="S14" s="21">
        <f t="shared" si="13"/>
        <v>4.1902121924941138</v>
      </c>
      <c r="T14" s="21">
        <f t="shared" si="14"/>
        <v>13.64483781500223</v>
      </c>
      <c r="U14" s="21">
        <f t="shared" si="15"/>
        <v>-9.4546256225081162</v>
      </c>
      <c r="V14" s="46">
        <f>NFA_in_yen!D14-NFA_in_yen!D13</f>
        <v>12514</v>
      </c>
      <c r="W14" s="26">
        <f>NFA_in_yen!K14-NFA_in_yen!K13</f>
        <v>16435</v>
      </c>
      <c r="X14" s="11">
        <v>2896.4</v>
      </c>
      <c r="Y14" s="11">
        <v>8340</v>
      </c>
      <c r="Z14" s="26">
        <f t="shared" si="2"/>
        <v>9617.6</v>
      </c>
      <c r="AA14" s="26">
        <f t="shared" si="3"/>
        <v>8095</v>
      </c>
      <c r="AB14" s="21">
        <f>Z14/NFA_in_yen!D13*100</f>
        <v>19.953526970954357</v>
      </c>
      <c r="AC14" s="21">
        <f>AA14/NFA_in_yen!K13*100</f>
        <v>6.0937053040454074</v>
      </c>
      <c r="AD14" s="21">
        <f t="shared" si="16"/>
        <v>19.665535226426822</v>
      </c>
      <c r="AE14" s="21">
        <f t="shared" si="17"/>
        <v>5.8389890648030018</v>
      </c>
      <c r="AF14" s="21">
        <f t="shared" si="18"/>
        <v>13.826546161623821</v>
      </c>
      <c r="AG14" s="46">
        <f>NFA_in_yen!E14-NFA_in_yen!E13</f>
        <v>16749</v>
      </c>
      <c r="AH14" s="26">
        <f>NFA_in_yen!L14-NFA_in_yen!L13</f>
        <v>11302</v>
      </c>
      <c r="AI14" s="11">
        <v>5375.8</v>
      </c>
      <c r="AJ14" s="11">
        <v>14728.2</v>
      </c>
      <c r="AK14" s="26">
        <f t="shared" si="4"/>
        <v>11373.2</v>
      </c>
      <c r="AL14" s="26">
        <f t="shared" si="5"/>
        <v>-3426.2000000000007</v>
      </c>
      <c r="AM14" s="21">
        <f>AK14/NFA_in_yen!E13*100</f>
        <v>5.6500442139358356</v>
      </c>
      <c r="AN14" s="21">
        <f>AL14/NFA_in_yen!L13*100</f>
        <v>-6.975588899973534</v>
      </c>
      <c r="AO14" s="21">
        <f t="shared" si="19"/>
        <v>5.3963931433012036</v>
      </c>
      <c r="AP14" s="21">
        <f t="shared" si="20"/>
        <v>-7.1989275804846269</v>
      </c>
      <c r="AQ14" s="21">
        <f t="shared" si="21"/>
        <v>12.59532072378583</v>
      </c>
      <c r="AR14" s="46">
        <f>NFA_in_yen!G14-NFA_in_yen!G13</f>
        <v>8154</v>
      </c>
      <c r="AS14" s="26">
        <f>NFA_in_yen!N14-NFA_in_yen!N13</f>
        <v>-10771</v>
      </c>
      <c r="AT14" s="11">
        <v>10049</v>
      </c>
      <c r="AU14" s="11">
        <v>-10341.5</v>
      </c>
      <c r="AV14" s="26">
        <f t="shared" si="6"/>
        <v>-1895</v>
      </c>
      <c r="AW14" s="26">
        <f t="shared" si="7"/>
        <v>-429.5</v>
      </c>
      <c r="AX14" s="21">
        <f>AV14/NFA_in_yen!G13*100</f>
        <v>-1.7458357900943398</v>
      </c>
      <c r="AY14" s="21">
        <f>AW14/NFA_in_yen!N13*100</f>
        <v>-0.33631145808047985</v>
      </c>
      <c r="AZ14" s="21">
        <f t="shared" si="22"/>
        <v>-1.9817303808783104</v>
      </c>
      <c r="BA14" s="21">
        <f t="shared" si="23"/>
        <v>-0.57559012085950378</v>
      </c>
      <c r="BB14" s="21">
        <f t="shared" si="24"/>
        <v>-1.4061402600188067</v>
      </c>
      <c r="BC14" s="46">
        <f>NFA_in_yen!H14-NFA_in_yen!H13</f>
        <v>6991</v>
      </c>
      <c r="BD14" s="11">
        <v>3719.5765000000001</v>
      </c>
      <c r="BE14" s="26">
        <f t="shared" si="25"/>
        <v>3271.4234999999999</v>
      </c>
      <c r="BF14" s="27">
        <f>BE14/NFA_in_yen!H13*100</f>
        <v>3.2897143115723422</v>
      </c>
      <c r="BG14" s="8">
        <f>((1+BE14/NFA_in_yen!H13)/(1+B14/100)-1)*100</f>
        <v>3.041730064943704</v>
      </c>
      <c r="BK14" s="12"/>
      <c r="BL14" s="12"/>
    </row>
    <row r="15" spans="1:64">
      <c r="A15" s="11">
        <v>2007</v>
      </c>
      <c r="B15" s="8">
        <f>yield!M15</f>
        <v>5.7951817204070298E-2</v>
      </c>
      <c r="C15" s="47"/>
      <c r="D15" s="26">
        <f t="shared" si="0"/>
        <v>-7504.5106000000005</v>
      </c>
      <c r="E15" s="26">
        <f t="shared" si="1"/>
        <v>-15633.300000000001</v>
      </c>
      <c r="F15" s="21">
        <f>D15/(NFA_in_yen!C14+NFA_in_yen!D14+NFA_in_yen!E14+NFA_in_yen!G14+NFA_in_yen!H14)*100</f>
        <v>-1.3512729623347488</v>
      </c>
      <c r="G15" s="27">
        <f>E15/(NFA_in_yen!J14+NFA_in_yen!K14+NFA_in_yen!L14+NFA_in_yen!N14)*100</f>
        <v>-4.6056558359872382</v>
      </c>
      <c r="H15" s="21">
        <f t="shared" si="8"/>
        <v>-1.4084085811723712</v>
      </c>
      <c r="I15" s="21">
        <f t="shared" si="9"/>
        <v>-4.6609065731340049</v>
      </c>
      <c r="J15" s="21">
        <f t="shared" si="10"/>
        <v>3.2524979919616337</v>
      </c>
      <c r="K15" s="46">
        <f>NFA_in_yen!C15-NFA_in_yen!C14</f>
        <v>8382</v>
      </c>
      <c r="L15" s="26">
        <f>NFA_in_yen!J15-NFA_in_yen!J14</f>
        <v>2342</v>
      </c>
      <c r="M15" s="11">
        <v>8660.6</v>
      </c>
      <c r="N15" s="11">
        <v>2655.3</v>
      </c>
      <c r="O15" s="26">
        <f t="shared" si="11"/>
        <v>-278.60000000000036</v>
      </c>
      <c r="P15" s="26">
        <f t="shared" si="12"/>
        <v>-313.30000000000018</v>
      </c>
      <c r="Q15" s="21">
        <f>O15/NFA_in_yen!C14*100</f>
        <v>-0.52098137482235085</v>
      </c>
      <c r="R15" s="21">
        <f>P15/NFA_in_yen!J14*100</f>
        <v>-2.4470827149886758</v>
      </c>
      <c r="S15" s="21">
        <f t="shared" si="13"/>
        <v>-0.57859788403831214</v>
      </c>
      <c r="T15" s="21">
        <f t="shared" si="14"/>
        <v>-2.5035836599665795</v>
      </c>
      <c r="U15" s="21">
        <f t="shared" si="15"/>
        <v>1.9249857759282674</v>
      </c>
      <c r="V15" s="46">
        <f>NFA_in_yen!D15-NFA_in_yen!D14</f>
        <v>4662</v>
      </c>
      <c r="W15" s="26">
        <f>NFA_in_yen!K15-NFA_in_yen!K14</f>
        <v>-7246</v>
      </c>
      <c r="X15" s="11">
        <v>3088</v>
      </c>
      <c r="Y15" s="11">
        <v>5392.6</v>
      </c>
      <c r="Z15" s="26">
        <f t="shared" si="2"/>
        <v>1574</v>
      </c>
      <c r="AA15" s="26">
        <f t="shared" si="3"/>
        <v>-12638.6</v>
      </c>
      <c r="AB15" s="21">
        <f>Z15/NFA_in_yen!D14*100</f>
        <v>2.5924827881542973</v>
      </c>
      <c r="AC15" s="21">
        <f>AA15/NFA_in_yen!K14*100</f>
        <v>-8.4665420660918969</v>
      </c>
      <c r="AD15" s="21">
        <f t="shared" si="16"/>
        <v>2.5330630149021705</v>
      </c>
      <c r="AE15" s="21">
        <f t="shared" si="17"/>
        <v>-8.5195566454022256</v>
      </c>
      <c r="AF15" s="21">
        <f t="shared" si="18"/>
        <v>11.052619660304396</v>
      </c>
      <c r="AG15" s="46">
        <f>NFA_in_yen!E15-NFA_in_yen!E14</f>
        <v>4268</v>
      </c>
      <c r="AH15" s="26">
        <f>NFA_in_yen!L15-NFA_in_yen!L14</f>
        <v>19037</v>
      </c>
      <c r="AI15" s="11">
        <v>11500.3</v>
      </c>
      <c r="AJ15" s="11">
        <v>17447.3</v>
      </c>
      <c r="AK15" s="26">
        <f t="shared" si="4"/>
        <v>-7232.2999999999993</v>
      </c>
      <c r="AL15" s="26">
        <f t="shared" si="5"/>
        <v>1589.7000000000007</v>
      </c>
      <c r="AM15" s="21">
        <f>AK15/NFA_in_yen!E14*100</f>
        <v>-3.3169145535513631</v>
      </c>
      <c r="AN15" s="21">
        <f>AL15/NFA_in_yen!L14*100</f>
        <v>2.6311259703073548</v>
      </c>
      <c r="AO15" s="21">
        <f t="shared" si="19"/>
        <v>-3.3729117071284676</v>
      </c>
      <c r="AP15" s="21">
        <f t="shared" si="20"/>
        <v>2.5716838155994015</v>
      </c>
      <c r="AQ15" s="21">
        <f t="shared" si="21"/>
        <v>-5.9445955227278695</v>
      </c>
      <c r="AR15" s="46">
        <f>NFA_in_yen!G15-NFA_in_yen!G14</f>
        <v>29529</v>
      </c>
      <c r="AS15" s="26">
        <f>NFA_in_yen!N15-NFA_in_yen!N14</f>
        <v>1736</v>
      </c>
      <c r="AT15" s="11">
        <v>30643.200000000001</v>
      </c>
      <c r="AU15" s="11">
        <v>6007.1</v>
      </c>
      <c r="AV15" s="26">
        <f t="shared" si="6"/>
        <v>-1114.2000000000007</v>
      </c>
      <c r="AW15" s="26">
        <f t="shared" si="7"/>
        <v>-4271.1000000000004</v>
      </c>
      <c r="AX15" s="21">
        <f>AV15/NFA_in_yen!G14*100</f>
        <v>-0.95477214690911638</v>
      </c>
      <c r="AY15" s="21">
        <f>AW15/NFA_in_yen!N14*100</f>
        <v>-3.6524483059399002</v>
      </c>
      <c r="AZ15" s="21">
        <f t="shared" si="22"/>
        <v>-1.0121374120902749</v>
      </c>
      <c r="BA15" s="21">
        <f t="shared" si="23"/>
        <v>-3.7082511242309879</v>
      </c>
      <c r="BB15" s="21">
        <f t="shared" si="24"/>
        <v>2.696113712140713</v>
      </c>
      <c r="BC15" s="46">
        <f>NFA_in_yen!H15-NFA_in_yen!H14</f>
        <v>3844</v>
      </c>
      <c r="BD15" s="11">
        <v>4297.4106000000002</v>
      </c>
      <c r="BE15" s="26">
        <f t="shared" si="25"/>
        <v>-453.41060000000016</v>
      </c>
      <c r="BF15" s="27">
        <f>BE15/NFA_in_yen!H14*100</f>
        <v>-0.42599765114858851</v>
      </c>
      <c r="BG15" s="8">
        <f>((1+BE15/NFA_in_yen!H14)/(1+B15/100)-1)*100</f>
        <v>-0.48366917327749004</v>
      </c>
      <c r="BK15" s="12"/>
      <c r="BL15" s="12"/>
    </row>
    <row r="16" spans="1:64">
      <c r="A16" s="11">
        <v>2008</v>
      </c>
      <c r="B16" s="8">
        <f>yield!M16</f>
        <v>1.3734899884159999</v>
      </c>
      <c r="C16" s="47"/>
      <c r="D16" s="26">
        <f t="shared" si="0"/>
        <v>-117260.7926</v>
      </c>
      <c r="E16" s="26">
        <f t="shared" si="1"/>
        <v>-69676.3</v>
      </c>
      <c r="F16" s="21">
        <f>D16/(NFA_in_yen!C15+NFA_in_yen!D15+NFA_in_yen!E15+NFA_in_yen!G15+NFA_in_yen!H15)*100</f>
        <v>-19.348337450148584</v>
      </c>
      <c r="G16" s="27">
        <f>E16/(NFA_in_yen!J15+NFA_in_yen!K15+NFA_in_yen!L15+NFA_in_yen!N15)*100</f>
        <v>-19.610223300479024</v>
      </c>
      <c r="H16" s="21">
        <f t="shared" si="8"/>
        <v>-20.441071369775756</v>
      </c>
      <c r="I16" s="21">
        <f t="shared" si="9"/>
        <v>-20.69940897890843</v>
      </c>
      <c r="J16" s="21">
        <f t="shared" si="10"/>
        <v>0.25833760913267412</v>
      </c>
      <c r="K16" s="46">
        <f>NFA_in_yen!C16-NFA_in_yen!C15</f>
        <v>-118</v>
      </c>
      <c r="L16" s="26">
        <f>NFA_in_yen!J16-NFA_in_yen!J15</f>
        <v>3311</v>
      </c>
      <c r="M16" s="11">
        <v>13231.9</v>
      </c>
      <c r="N16" s="11">
        <v>2524.6</v>
      </c>
      <c r="O16" s="26">
        <f t="shared" si="11"/>
        <v>-13349.9</v>
      </c>
      <c r="P16" s="26">
        <f t="shared" si="12"/>
        <v>786.40000000000009</v>
      </c>
      <c r="Q16" s="21">
        <f>O16/NFA_in_yen!C15*100</f>
        <v>-21.581525429208835</v>
      </c>
      <c r="R16" s="21">
        <f>P16/NFA_in_yen!J15*100</f>
        <v>5.1924727632882144</v>
      </c>
      <c r="S16" s="21">
        <f t="shared" si="13"/>
        <v>-22.64400231288073</v>
      </c>
      <c r="T16" s="21">
        <f t="shared" si="14"/>
        <v>3.7672401091336738</v>
      </c>
      <c r="U16" s="21">
        <f t="shared" si="15"/>
        <v>-26.411242422014404</v>
      </c>
      <c r="V16" s="46">
        <f>NFA_in_yen!D16-NFA_in_yen!D15</f>
        <v>-29559</v>
      </c>
      <c r="W16" s="26">
        <f>NFA_in_yen!K16-NFA_in_yen!K15</f>
        <v>-73406</v>
      </c>
      <c r="X16" s="11">
        <v>6525.1</v>
      </c>
      <c r="Y16" s="11">
        <v>-7349.4</v>
      </c>
      <c r="Z16" s="26">
        <f t="shared" si="2"/>
        <v>-36084.1</v>
      </c>
      <c r="AA16" s="26">
        <f t="shared" si="3"/>
        <v>-66056.600000000006</v>
      </c>
      <c r="AB16" s="21">
        <f>Z16/NFA_in_yen!D15*100</f>
        <v>-55.19471977484092</v>
      </c>
      <c r="AC16" s="21">
        <f>AA16/NFA_in_yen!K15*100</f>
        <v>-46.508579113010548</v>
      </c>
      <c r="AD16" s="21">
        <f t="shared" si="16"/>
        <v>-55.801777930029829</v>
      </c>
      <c r="AE16" s="21">
        <f t="shared" si="17"/>
        <v>-47.233324123395626</v>
      </c>
      <c r="AF16" s="21">
        <f t="shared" si="18"/>
        <v>-8.5684538066342029</v>
      </c>
      <c r="AG16" s="46">
        <f>NFA_in_yen!E16-NFA_in_yen!E15</f>
        <v>-42446</v>
      </c>
      <c r="AH16" s="26">
        <f>NFA_in_yen!L16-NFA_in_yen!L15</f>
        <v>-8174</v>
      </c>
      <c r="AI16" s="11">
        <v>12821.5</v>
      </c>
      <c r="AJ16" s="11">
        <v>-2090.6</v>
      </c>
      <c r="AK16" s="26">
        <f t="shared" si="4"/>
        <v>-55267.5</v>
      </c>
      <c r="AL16" s="26">
        <f t="shared" si="5"/>
        <v>-6083.4</v>
      </c>
      <c r="AM16" s="21">
        <f>AK16/NFA_in_yen!E15*100</f>
        <v>-24.860443252920458</v>
      </c>
      <c r="AN16" s="21">
        <f>AL16/NFA_in_yen!L15*100</f>
        <v>-7.6563129279097861</v>
      </c>
      <c r="AO16" s="21">
        <f t="shared" si="19"/>
        <v>-25.878494707377865</v>
      </c>
      <c r="AP16" s="21">
        <f t="shared" si="20"/>
        <v>-8.9074598471036381</v>
      </c>
      <c r="AQ16" s="21">
        <f t="shared" si="21"/>
        <v>-16.971034860274226</v>
      </c>
      <c r="AR16" s="46">
        <f>NFA_in_yen!G16-NFA_in_yen!G15</f>
        <v>-4475</v>
      </c>
      <c r="AS16" s="26">
        <f>NFA_in_yen!N16-NFA_in_yen!N15</f>
        <v>8472</v>
      </c>
      <c r="AT16" s="11">
        <v>-12411.8</v>
      </c>
      <c r="AU16" s="11">
        <v>6794.7</v>
      </c>
      <c r="AV16" s="26">
        <f t="shared" si="6"/>
        <v>7936.7999999999993</v>
      </c>
      <c r="AW16" s="26">
        <f t="shared" si="7"/>
        <v>1677.3000000000002</v>
      </c>
      <c r="AX16" s="21">
        <f>AV16/NFA_in_yen!G15*100</f>
        <v>5.42772538587265</v>
      </c>
      <c r="AY16" s="21">
        <f>AW16/NFA_in_yen!N15*100</f>
        <v>1.413367713231205</v>
      </c>
      <c r="AZ16" s="21">
        <f t="shared" si="22"/>
        <v>3.9993053390190214</v>
      </c>
      <c r="BA16" s="21">
        <f t="shared" si="23"/>
        <v>3.9337429163932569E-2</v>
      </c>
      <c r="BB16" s="21">
        <f t="shared" si="24"/>
        <v>3.9599679098550888</v>
      </c>
      <c r="BC16" s="46">
        <f>NFA_in_yen!H16-NFA_in_yen!H15</f>
        <v>-17296</v>
      </c>
      <c r="BD16" s="11">
        <v>3200.0925999999999</v>
      </c>
      <c r="BE16" s="26">
        <f t="shared" si="25"/>
        <v>-20496.0926</v>
      </c>
      <c r="BF16" s="27">
        <f>BE16/NFA_in_yen!H15*100</f>
        <v>-18.585671433364467</v>
      </c>
      <c r="BG16" s="8">
        <f>((1+BE16/NFA_in_yen!H15)/(1+B16/100)-1)*100</f>
        <v>-19.688738568694053</v>
      </c>
      <c r="BK16" s="12"/>
      <c r="BL16" s="12"/>
    </row>
    <row r="17" spans="1:64">
      <c r="A17" s="11">
        <v>2009</v>
      </c>
      <c r="B17" s="8">
        <f>yield!M17</f>
        <v>-1.3467189030362301</v>
      </c>
      <c r="C17" s="47"/>
      <c r="D17" s="26">
        <f t="shared" si="0"/>
        <v>32607.103200000001</v>
      </c>
      <c r="E17" s="26">
        <f t="shared" si="1"/>
        <v>7323.7000000000007</v>
      </c>
      <c r="F17" s="21">
        <f>D17/(NFA_in_yen!C16+NFA_in_yen!D16+NFA_in_yen!E16+NFA_in_yen!G16+NFA_in_yen!H16)*100</f>
        <v>6.3666225786233515</v>
      </c>
      <c r="G17" s="27">
        <f>E17/(NFA_in_yen!J16+NFA_in_yen!K16+NFA_in_yen!L16+NFA_in_yen!N16)*100</f>
        <v>2.5651380516901394</v>
      </c>
      <c r="H17" s="21">
        <f t="shared" si="8"/>
        <v>7.8186365378748235</v>
      </c>
      <c r="I17" s="21">
        <f t="shared" si="9"/>
        <v>3.9652578314972597</v>
      </c>
      <c r="J17" s="21">
        <f t="shared" si="10"/>
        <v>3.8533787063775637</v>
      </c>
      <c r="K17" s="46">
        <f>NFA_in_yen!C17-NFA_in_yen!C16</f>
        <v>6470</v>
      </c>
      <c r="L17" s="26">
        <f>NFA_in_yen!J17-NFA_in_yen!J16</f>
        <v>-31</v>
      </c>
      <c r="M17" s="11">
        <v>6989.6</v>
      </c>
      <c r="N17" s="11">
        <v>1117.0999999999999</v>
      </c>
      <c r="O17" s="26">
        <f t="shared" si="11"/>
        <v>-519.60000000000036</v>
      </c>
      <c r="P17" s="26">
        <f t="shared" si="12"/>
        <v>-1148.0999999999999</v>
      </c>
      <c r="Q17" s="21">
        <f>O17/NFA_in_yen!C16*100</f>
        <v>-0.84159378036929111</v>
      </c>
      <c r="R17" s="21">
        <f>P17/NFA_in_yen!J16*100</f>
        <v>-6.2207412223667093</v>
      </c>
      <c r="S17" s="21">
        <f t="shared" si="13"/>
        <v>0.51202060088650914</v>
      </c>
      <c r="T17" s="21">
        <f t="shared" si="14"/>
        <v>-4.9405577443895954</v>
      </c>
      <c r="U17" s="21">
        <f t="shared" si="15"/>
        <v>5.4525783452761045</v>
      </c>
      <c r="V17" s="46">
        <f>NFA_in_yen!D17-NFA_in_yen!D16</f>
        <v>18870</v>
      </c>
      <c r="W17" s="26">
        <f>NFA_in_yen!K17-NFA_in_yen!K16</f>
        <v>7747</v>
      </c>
      <c r="X17" s="11">
        <v>2802.2</v>
      </c>
      <c r="Y17" s="11">
        <v>1038.9000000000001</v>
      </c>
      <c r="Z17" s="26">
        <f t="shared" si="2"/>
        <v>16067.8</v>
      </c>
      <c r="AA17" s="26">
        <f t="shared" si="3"/>
        <v>6708.1</v>
      </c>
      <c r="AB17" s="21">
        <f>Z17/NFA_in_yen!D16*100</f>
        <v>44.860820280872211</v>
      </c>
      <c r="AC17" s="21">
        <f>AA17/NFA_in_yen!K16*100</f>
        <v>9.775009107468124</v>
      </c>
      <c r="AD17" s="21">
        <f t="shared" si="16"/>
        <v>46.838319689025077</v>
      </c>
      <c r="AE17" s="21">
        <f t="shared" si="17"/>
        <v>11.273551053586427</v>
      </c>
      <c r="AF17" s="21">
        <f t="shared" si="18"/>
        <v>35.564768635438654</v>
      </c>
      <c r="AG17" s="46">
        <f>NFA_in_yen!E17-NFA_in_yen!E16</f>
        <v>27437</v>
      </c>
      <c r="AH17" s="26">
        <f>NFA_in_yen!L17-NFA_in_yen!L16</f>
        <v>-6158</v>
      </c>
      <c r="AI17" s="11">
        <v>12380.3</v>
      </c>
      <c r="AJ17" s="11">
        <v>-6361.6</v>
      </c>
      <c r="AK17" s="26">
        <f t="shared" si="4"/>
        <v>15056.7</v>
      </c>
      <c r="AL17" s="26">
        <f t="shared" si="5"/>
        <v>203.60000000000036</v>
      </c>
      <c r="AM17" s="21">
        <f>AK17/NFA_in_yen!E16*100</f>
        <v>8.3711116670836461</v>
      </c>
      <c r="AN17" s="21">
        <f>AL17/NFA_in_yen!L16*100</f>
        <v>0.28562610476698236</v>
      </c>
      <c r="AO17" s="21">
        <f t="shared" si="19"/>
        <v>9.8504889670810503</v>
      </c>
      <c r="AP17" s="21">
        <f t="shared" si="20"/>
        <v>1.6546281985277522</v>
      </c>
      <c r="AQ17" s="21">
        <f t="shared" si="21"/>
        <v>8.1958607685532989</v>
      </c>
      <c r="AR17" s="46">
        <f>NFA_in_yen!G17-NFA_in_yen!G16</f>
        <v>-18153</v>
      </c>
      <c r="AS17" s="26">
        <f>NFA_in_yen!N17-NFA_in_yen!N16</f>
        <v>-5701</v>
      </c>
      <c r="AT17" s="11">
        <v>-18887.7</v>
      </c>
      <c r="AU17" s="11">
        <v>-7261.1</v>
      </c>
      <c r="AV17" s="26">
        <f t="shared" si="6"/>
        <v>734.70000000000073</v>
      </c>
      <c r="AW17" s="26">
        <f t="shared" si="7"/>
        <v>1560.1000000000004</v>
      </c>
      <c r="AX17" s="21">
        <f>AV17/NFA_in_yen!G16*100</f>
        <v>0.51829956543823064</v>
      </c>
      <c r="AY17" s="21">
        <f>AW17/NFA_in_yen!N16*100</f>
        <v>1.2270146131219231</v>
      </c>
      <c r="AZ17" s="21">
        <f t="shared" si="22"/>
        <v>1.89047789159833</v>
      </c>
      <c r="BA17" s="21">
        <f t="shared" si="23"/>
        <v>2.6088676296822655</v>
      </c>
      <c r="BB17" s="21">
        <f t="shared" si="24"/>
        <v>-0.71838973808393547</v>
      </c>
      <c r="BC17" s="46">
        <f>NFA_in_yen!H17-NFA_in_yen!H16</f>
        <v>3794</v>
      </c>
      <c r="BD17" s="11">
        <v>2526.4967999999999</v>
      </c>
      <c r="BE17" s="26">
        <f t="shared" si="25"/>
        <v>1267.5032000000001</v>
      </c>
      <c r="BF17" s="27">
        <f>BE17/NFA_in_yen!H16*100</f>
        <v>1.3631558456922235</v>
      </c>
      <c r="BG17" s="8">
        <f>((1+BE17/NFA_in_yen!H16)/(1+B17/100)-1)*100</f>
        <v>2.7468673303070235</v>
      </c>
      <c r="BK17" s="12"/>
      <c r="BL17" s="12"/>
    </row>
    <row r="18" spans="1:64">
      <c r="A18" s="11">
        <v>2010</v>
      </c>
      <c r="B18" s="8">
        <f>yield!M18</f>
        <v>-0.71978158351947696</v>
      </c>
      <c r="C18" s="47"/>
      <c r="D18" s="26">
        <f t="shared" si="0"/>
        <v>-38350.696199999998</v>
      </c>
      <c r="E18" s="26">
        <f t="shared" si="1"/>
        <v>-3946</v>
      </c>
      <c r="F18" s="21">
        <f>D18/(NFA_in_yen!C17+NFA_in_yen!D17+NFA_in_yen!E17+NFA_in_yen!G17+NFA_in_yen!H17)*100</f>
        <v>-6.9655716659855607</v>
      </c>
      <c r="G18" s="27">
        <f>E18/(NFA_in_yen!J17+NFA_in_yen!K17+NFA_in_yen!L17+NFA_in_yen!N17)*100</f>
        <v>-1.4024437920715367</v>
      </c>
      <c r="H18" s="21">
        <f t="shared" si="8"/>
        <v>-6.2910720605639625</v>
      </c>
      <c r="I18" s="21">
        <f t="shared" si="9"/>
        <v>-0.6876115095640678</v>
      </c>
      <c r="J18" s="21">
        <f t="shared" si="10"/>
        <v>-5.6034605509998947</v>
      </c>
      <c r="K18" s="46">
        <f>NFA_in_yen!C18-NFA_in_yen!C17</f>
        <v>-519</v>
      </c>
      <c r="L18" s="26">
        <f>NFA_in_yen!J18-NFA_in_yen!J17</f>
        <v>-923</v>
      </c>
      <c r="M18" s="11">
        <v>4938.8</v>
      </c>
      <c r="N18" s="11">
        <v>-109.8</v>
      </c>
      <c r="O18" s="26">
        <f t="shared" si="11"/>
        <v>-5457.8</v>
      </c>
      <c r="P18" s="26">
        <f t="shared" si="12"/>
        <v>-813.2</v>
      </c>
      <c r="Q18" s="21">
        <f>O18/NFA_in_yen!C17*100</f>
        <v>-8.0014660606949128</v>
      </c>
      <c r="R18" s="21">
        <f>P18/NFA_in_yen!J17*100</f>
        <v>-4.4135685210312081</v>
      </c>
      <c r="S18" s="21">
        <f t="shared" si="13"/>
        <v>-7.3344766896349611</v>
      </c>
      <c r="T18" s="21">
        <f t="shared" si="14"/>
        <v>-3.7205668928086966</v>
      </c>
      <c r="U18" s="21">
        <f t="shared" si="15"/>
        <v>-3.6139097968262646</v>
      </c>
      <c r="V18" s="46">
        <f>NFA_in_yen!D18-NFA_in_yen!D17</f>
        <v>575</v>
      </c>
      <c r="W18" s="26">
        <f>NFA_in_yen!K18-NFA_in_yen!K17</f>
        <v>4165</v>
      </c>
      <c r="X18" s="11">
        <v>1923.3</v>
      </c>
      <c r="Y18" s="11">
        <v>3451.5</v>
      </c>
      <c r="Z18" s="26">
        <f t="shared" si="2"/>
        <v>-1348.3</v>
      </c>
      <c r="AA18" s="26">
        <f t="shared" si="3"/>
        <v>713.5</v>
      </c>
      <c r="AB18" s="21">
        <f>Z18/NFA_in_yen!D17*100</f>
        <v>-2.4654853987236454</v>
      </c>
      <c r="AC18" s="21">
        <f>AA18/NFA_in_yen!K17*100</f>
        <v>0.93424291625202949</v>
      </c>
      <c r="AD18" s="21">
        <f t="shared" si="16"/>
        <v>-1.7583601678644034</v>
      </c>
      <c r="AE18" s="21">
        <f t="shared" si="17"/>
        <v>1.6660161773948579</v>
      </c>
      <c r="AF18" s="21">
        <f t="shared" si="18"/>
        <v>-3.4243763452592613</v>
      </c>
      <c r="AG18" s="46">
        <f>NFA_in_yen!E18-NFA_in_yen!E17</f>
        <v>6642</v>
      </c>
      <c r="AH18" s="26">
        <f>NFA_in_yen!L18-NFA_in_yen!L17</f>
        <v>6390</v>
      </c>
      <c r="AI18" s="11">
        <v>21147.3</v>
      </c>
      <c r="AJ18" s="11">
        <v>6369.7</v>
      </c>
      <c r="AK18" s="26">
        <f t="shared" si="4"/>
        <v>-14505.3</v>
      </c>
      <c r="AL18" s="26">
        <f t="shared" si="5"/>
        <v>20.300000000000182</v>
      </c>
      <c r="AM18" s="21">
        <f>AK18/NFA_in_yen!E17*100</f>
        <v>-6.9971828540004433</v>
      </c>
      <c r="AN18" s="21">
        <f>AL18/NFA_in_yen!L17*100</f>
        <v>3.1171303973957652E-2</v>
      </c>
      <c r="AO18" s="21">
        <f t="shared" si="19"/>
        <v>-6.3229124296919519</v>
      </c>
      <c r="AP18" s="21">
        <f t="shared" si="20"/>
        <v>0.75639729592775762</v>
      </c>
      <c r="AQ18" s="21">
        <f t="shared" si="21"/>
        <v>-7.0793097256197095</v>
      </c>
      <c r="AR18" s="46">
        <f>NFA_in_yen!G18-NFA_in_yen!G17</f>
        <v>6101</v>
      </c>
      <c r="AS18" s="26">
        <f>NFA_in_yen!N18-NFA_in_yen!N17</f>
        <v>8043</v>
      </c>
      <c r="AT18" s="11">
        <v>11900.8</v>
      </c>
      <c r="AU18" s="11">
        <v>11909.6</v>
      </c>
      <c r="AV18" s="26">
        <f t="shared" si="6"/>
        <v>-5799.7999999999993</v>
      </c>
      <c r="AW18" s="26">
        <f t="shared" si="7"/>
        <v>-3866.6000000000004</v>
      </c>
      <c r="AX18" s="21">
        <f>AV18/NFA_in_yen!G17*100</f>
        <v>-4.6924327866730309</v>
      </c>
      <c r="AY18" s="21">
        <f>AW18/NFA_in_yen!N17*100</f>
        <v>-3.183828070319898</v>
      </c>
      <c r="AZ18" s="21">
        <f t="shared" si="22"/>
        <v>-4.0014529243764141</v>
      </c>
      <c r="BA18" s="21">
        <f t="shared" si="23"/>
        <v>-2.4819108238297249</v>
      </c>
      <c r="BB18" s="21">
        <f t="shared" si="24"/>
        <v>-1.5195421005466891</v>
      </c>
      <c r="BC18" s="46">
        <f>NFA_in_yen!H18-NFA_in_yen!H17</f>
        <v>-7447</v>
      </c>
      <c r="BD18" s="11">
        <v>3792.4962</v>
      </c>
      <c r="BE18" s="26">
        <f t="shared" si="25"/>
        <v>-11239.4962</v>
      </c>
      <c r="BF18" s="27">
        <f>BE18/NFA_in_yen!H17*100</f>
        <v>-11.613809272864421</v>
      </c>
      <c r="BG18" s="8">
        <f>((1+BE18/NFA_in_yen!H17)/(1+B18/100)-1)*100</f>
        <v>-10.973009390092692</v>
      </c>
      <c r="BK18" s="12"/>
      <c r="BL18" s="12"/>
    </row>
    <row r="19" spans="1:64">
      <c r="A19" s="11">
        <v>2011</v>
      </c>
      <c r="B19" s="8">
        <f>yield!M19</f>
        <v>-0.28333333333330502</v>
      </c>
      <c r="C19" s="47"/>
      <c r="D19" s="26">
        <f t="shared" si="0"/>
        <v>-16965.742600000001</v>
      </c>
      <c r="E19" s="26">
        <f t="shared" si="1"/>
        <v>-12968.2</v>
      </c>
      <c r="F19" s="21">
        <f>D19/(NFA_in_yen!C18+NFA_in_yen!D18+NFA_in_yen!E18+NFA_in_yen!G18+NFA_in_yen!H18)*100</f>
        <v>-3.0517932390403781</v>
      </c>
      <c r="G19" s="27">
        <f>E19/(NFA_in_yen!J18+NFA_in_yen!K18+NFA_in_yen!L18+NFA_in_yen!N18)*100</f>
        <v>-4.3365959851659142</v>
      </c>
      <c r="H19" s="21">
        <f t="shared" si="8"/>
        <v>-2.7763261631693847</v>
      </c>
      <c r="I19" s="21">
        <f t="shared" si="9"/>
        <v>-4.0647795271595673</v>
      </c>
      <c r="J19" s="21">
        <f t="shared" si="10"/>
        <v>1.2884533639901825</v>
      </c>
      <c r="K19" s="46">
        <f>NFA_in_yen!C19-NFA_in_yen!C18</f>
        <v>6598</v>
      </c>
      <c r="L19" s="26">
        <f>NFA_in_yen!J19-NFA_in_yen!J18</f>
        <v>46</v>
      </c>
      <c r="M19" s="11">
        <v>8587.2999999999993</v>
      </c>
      <c r="N19" s="11">
        <v>-140.1</v>
      </c>
      <c r="O19" s="26">
        <f t="shared" si="11"/>
        <v>-1989.2999999999993</v>
      </c>
      <c r="P19" s="26">
        <f t="shared" si="12"/>
        <v>186.1</v>
      </c>
      <c r="Q19" s="21">
        <f>O19/NFA_in_yen!C18*100</f>
        <v>-2.938795408547664</v>
      </c>
      <c r="R19" s="21">
        <f>P19/NFA_in_yen!J18*100</f>
        <v>1.063307050622786</v>
      </c>
      <c r="S19" s="21">
        <f t="shared" si="13"/>
        <v>-2.6630072624579948</v>
      </c>
      <c r="T19" s="21">
        <f t="shared" si="14"/>
        <v>1.3504667062905762</v>
      </c>
      <c r="U19" s="21">
        <f t="shared" si="15"/>
        <v>-4.0134739687485705</v>
      </c>
      <c r="V19" s="46">
        <f>NFA_in_yen!D19-NFA_in_yen!D18</f>
        <v>-3512</v>
      </c>
      <c r="W19" s="26">
        <f>NFA_in_yen!K19-NFA_in_yen!K18</f>
        <v>-14696</v>
      </c>
      <c r="X19" s="11">
        <v>964.4</v>
      </c>
      <c r="Y19" s="11">
        <v>599.9</v>
      </c>
      <c r="Z19" s="26">
        <f t="shared" si="2"/>
        <v>-4476.3999999999996</v>
      </c>
      <c r="AA19" s="26">
        <f t="shared" si="3"/>
        <v>-15295.9</v>
      </c>
      <c r="AB19" s="21">
        <f>Z19/NFA_in_yen!D18*100</f>
        <v>-8.1003221019868974</v>
      </c>
      <c r="AC19" s="21">
        <f>AA19/NFA_in_yen!K18*100</f>
        <v>-18.992388591579026</v>
      </c>
      <c r="AD19" s="21">
        <f t="shared" si="16"/>
        <v>-7.8391998348523391</v>
      </c>
      <c r="AE19" s="21">
        <f t="shared" si="17"/>
        <v>-18.762214867035652</v>
      </c>
      <c r="AF19" s="21">
        <f t="shared" si="18"/>
        <v>10.923015032183313</v>
      </c>
      <c r="AG19" s="46">
        <f>NFA_in_yen!E19-NFA_in_yen!E18</f>
        <v>-3370</v>
      </c>
      <c r="AH19" s="26">
        <f>NFA_in_yen!L19-NFA_in_yen!L18</f>
        <v>20125</v>
      </c>
      <c r="AI19" s="11">
        <v>7377.2</v>
      </c>
      <c r="AJ19" s="11">
        <v>20667.2</v>
      </c>
      <c r="AK19" s="26">
        <f t="shared" si="4"/>
        <v>-10747.2</v>
      </c>
      <c r="AL19" s="26">
        <f t="shared" si="5"/>
        <v>-542.20000000000073</v>
      </c>
      <c r="AM19" s="21">
        <f>AK19/NFA_in_yen!E18*100</f>
        <v>-5.0233706016527693</v>
      </c>
      <c r="AN19" s="21">
        <f>AL19/NFA_in_yen!L18*100</f>
        <v>-0.75817322482311256</v>
      </c>
      <c r="AO19" s="21">
        <f t="shared" si="19"/>
        <v>-4.7535055339991246</v>
      </c>
      <c r="AP19" s="21">
        <f t="shared" si="20"/>
        <v>-0.47618909392258546</v>
      </c>
      <c r="AQ19" s="21">
        <f t="shared" si="21"/>
        <v>-4.2773164400765395</v>
      </c>
      <c r="AR19" s="46">
        <f>NFA_in_yen!G19-NFA_in_yen!G18</f>
        <v>10492</v>
      </c>
      <c r="AS19" s="26">
        <f>NFA_in_yen!N19-NFA_in_yen!N18</f>
        <v>5925</v>
      </c>
      <c r="AT19" s="11">
        <v>7642.1</v>
      </c>
      <c r="AU19" s="11">
        <v>3241.2</v>
      </c>
      <c r="AV19" s="26">
        <f t="shared" si="6"/>
        <v>2849.8999999999996</v>
      </c>
      <c r="AW19" s="26">
        <f t="shared" si="7"/>
        <v>2683.8</v>
      </c>
      <c r="AX19" s="21">
        <f>AV19/NFA_in_yen!G18*100</f>
        <v>2.1973014649190437</v>
      </c>
      <c r="AY19" s="21">
        <f>AW19/NFA_in_yen!N18*100</f>
        <v>2.0726244903002597</v>
      </c>
      <c r="AZ19" s="21">
        <f t="shared" si="22"/>
        <v>2.4876832340822386</v>
      </c>
      <c r="BA19" s="21">
        <f t="shared" si="23"/>
        <v>2.3626520043124488</v>
      </c>
      <c r="BB19" s="21">
        <f t="shared" si="24"/>
        <v>0.12503122976978975</v>
      </c>
      <c r="BC19" s="46">
        <f>NFA_in_yen!H19-NFA_in_yen!H18</f>
        <v>11187</v>
      </c>
      <c r="BD19" s="11">
        <v>13789.7426</v>
      </c>
      <c r="BE19" s="26">
        <f t="shared" si="25"/>
        <v>-2602.7425999999996</v>
      </c>
      <c r="BF19" s="27">
        <f>BE19/NFA_in_yen!H18*100</f>
        <v>-2.9136265532295975</v>
      </c>
      <c r="BG19" s="8">
        <f>((1+BE19/NFA_in_yen!H18)/(1+B19/100)-1)*100</f>
        <v>-2.637766892759108</v>
      </c>
      <c r="BK19" s="12"/>
      <c r="BL19" s="12"/>
    </row>
    <row r="20" spans="1:64">
      <c r="A20" s="11">
        <v>2012</v>
      </c>
      <c r="B20" s="8">
        <f>yield!M20</f>
        <v>-3.3428046130775199E-2</v>
      </c>
      <c r="C20" s="47"/>
      <c r="D20" s="26">
        <f t="shared" si="0"/>
        <v>51761.908100000001</v>
      </c>
      <c r="E20" s="26">
        <f t="shared" si="1"/>
        <v>26091.1</v>
      </c>
      <c r="F20" s="21">
        <f>D20/(NFA_in_yen!C19+NFA_in_yen!D19+NFA_in_yen!E19+NFA_in_yen!G19+NFA_in_yen!H19)*100</f>
        <v>8.9658644742448743</v>
      </c>
      <c r="G20" s="27">
        <f>E20/(NFA_in_yen!J19+NFA_in_yen!K19+NFA_in_yen!L19+NFA_in_yen!N19)*100</f>
        <v>8.4045277524553779</v>
      </c>
      <c r="H20" s="21">
        <f t="shared" si="8"/>
        <v>9.0023018139788746</v>
      </c>
      <c r="I20" s="21">
        <f t="shared" si="9"/>
        <v>8.4407773855443846</v>
      </c>
      <c r="J20" s="21">
        <f t="shared" si="10"/>
        <v>0.56152442843449002</v>
      </c>
      <c r="K20" s="46">
        <f>NFA_in_yen!C20-NFA_in_yen!C19</f>
        <v>15524</v>
      </c>
      <c r="L20" s="26">
        <f>NFA_in_yen!J20-NFA_in_yen!J19</f>
        <v>260</v>
      </c>
      <c r="M20" s="11">
        <v>9778.4</v>
      </c>
      <c r="N20" s="11">
        <v>138.1</v>
      </c>
      <c r="O20" s="26">
        <f t="shared" si="11"/>
        <v>5745.6</v>
      </c>
      <c r="P20" s="26">
        <f t="shared" si="12"/>
        <v>121.9</v>
      </c>
      <c r="Q20" s="21">
        <f>O20/NFA_in_yen!C19*100</f>
        <v>7.7341194524088355</v>
      </c>
      <c r="R20" s="21">
        <f>P20/NFA_in_yen!J19*100</f>
        <v>0.69466605881012089</v>
      </c>
      <c r="S20" s="21">
        <f t="shared" si="13"/>
        <v>7.7701449061632566</v>
      </c>
      <c r="T20" s="21">
        <f t="shared" si="14"/>
        <v>0.72833757396111309</v>
      </c>
      <c r="U20" s="21">
        <f t="shared" si="15"/>
        <v>7.0418073322021435</v>
      </c>
      <c r="V20" s="46">
        <f>NFA_in_yen!D20-NFA_in_yen!D19</f>
        <v>7725</v>
      </c>
      <c r="W20" s="26">
        <f>NFA_in_yen!K20-NFA_in_yen!K19</f>
        <v>17715</v>
      </c>
      <c r="X20" s="11">
        <v>-1787.9</v>
      </c>
      <c r="Y20" s="11">
        <v>2903.8</v>
      </c>
      <c r="Z20" s="26">
        <f t="shared" si="2"/>
        <v>9512.9</v>
      </c>
      <c r="AA20" s="26">
        <f t="shared" si="3"/>
        <v>14811.2</v>
      </c>
      <c r="AB20" s="21">
        <f>Z20/NFA_in_yen!D19*100</f>
        <v>18.382415458937199</v>
      </c>
      <c r="AC20" s="21">
        <f>AA20/NFA_in_yen!K19*100</f>
        <v>22.495405598335385</v>
      </c>
      <c r="AD20" s="21">
        <f t="shared" si="16"/>
        <v>18.422001620267814</v>
      </c>
      <c r="AE20" s="21">
        <f t="shared" si="17"/>
        <v>22.53636711166045</v>
      </c>
      <c r="AF20" s="21">
        <f t="shared" si="18"/>
        <v>-4.1143654913926362</v>
      </c>
      <c r="AG20" s="46">
        <f>NFA_in_yen!E20-NFA_in_yen!E19</f>
        <v>35063</v>
      </c>
      <c r="AH20" s="26">
        <f>NFA_in_yen!L20-NFA_in_yen!L19</f>
        <v>5309</v>
      </c>
      <c r="AI20" s="11">
        <v>13790.5</v>
      </c>
      <c r="AJ20" s="11">
        <v>5877.1</v>
      </c>
      <c r="AK20" s="26">
        <f t="shared" si="4"/>
        <v>21272.5</v>
      </c>
      <c r="AL20" s="26">
        <f t="shared" si="5"/>
        <v>-568.10000000000036</v>
      </c>
      <c r="AM20" s="21">
        <f>AK20/NFA_in_yen!E19*100</f>
        <v>10.102149363169243</v>
      </c>
      <c r="AN20" s="21">
        <f>AL20/NFA_in_yen!L19*100</f>
        <v>-0.61993256146400588</v>
      </c>
      <c r="AO20" s="21">
        <f t="shared" si="19"/>
        <v>10.138966667754911</v>
      </c>
      <c r="AP20" s="21">
        <f t="shared" si="20"/>
        <v>-0.58670063789311167</v>
      </c>
      <c r="AQ20" s="21">
        <f t="shared" si="21"/>
        <v>10.725667305648022</v>
      </c>
      <c r="AR20" s="46">
        <f>NFA_in_yen!G20-NFA_in_yen!G19</f>
        <v>12699</v>
      </c>
      <c r="AS20" s="26">
        <f>NFA_in_yen!N20-NFA_in_yen!N19</f>
        <v>26537</v>
      </c>
      <c r="AT20" s="11">
        <v>9466.6</v>
      </c>
      <c r="AU20" s="11">
        <v>14810.9</v>
      </c>
      <c r="AV20" s="26">
        <f t="shared" si="6"/>
        <v>3232.3999999999996</v>
      </c>
      <c r="AW20" s="26">
        <f t="shared" si="7"/>
        <v>11726.1</v>
      </c>
      <c r="AX20" s="21">
        <f>AV20/NFA_in_yen!G19*100</f>
        <v>2.3056950467929695</v>
      </c>
      <c r="AY20" s="21">
        <f>AW20/NFA_in_yen!N19*100</f>
        <v>8.6595083189944848</v>
      </c>
      <c r="AZ20" s="21">
        <f t="shared" si="22"/>
        <v>2.3399052775393336</v>
      </c>
      <c r="BA20" s="21">
        <f t="shared" si="23"/>
        <v>8.6958432156068355</v>
      </c>
      <c r="BB20" s="21">
        <f t="shared" si="24"/>
        <v>-6.3559379380675018</v>
      </c>
      <c r="BC20" s="46">
        <f>NFA_in_yen!H20-NFA_in_yen!H19</f>
        <v>8947</v>
      </c>
      <c r="BD20" s="11">
        <v>-3051.5081</v>
      </c>
      <c r="BE20" s="26">
        <f t="shared" si="25"/>
        <v>11998.508099999999</v>
      </c>
      <c r="BF20" s="27">
        <f>BE20/NFA_in_yen!H19*100</f>
        <v>11.936794870519414</v>
      </c>
      <c r="BG20" s="8">
        <f>((1+BE20/NFA_in_yen!H19)/(1+B20/100)-1)*100</f>
        <v>11.974225666329751</v>
      </c>
      <c r="BK20" s="12"/>
      <c r="BL20" s="12"/>
    </row>
    <row r="21" spans="1:64">
      <c r="A21" s="11">
        <v>2013</v>
      </c>
      <c r="B21" s="92">
        <f>yield!M21</f>
        <v>0.35947166025784699</v>
      </c>
      <c r="C21" s="90"/>
      <c r="D21" s="26">
        <f t="shared" si="0"/>
        <v>104708.02179999999</v>
      </c>
      <c r="E21" s="26">
        <f t="shared" si="1"/>
        <v>69088.5</v>
      </c>
      <c r="F21" s="21">
        <f>D21/(NFA_in_yen!C20+NFA_in_yen!D20+NFA_in_yen!E20+NFA_in_yen!G20+NFA_in_yen!H20)*100</f>
        <v>15.930504777263874</v>
      </c>
      <c r="G21" s="27">
        <f>E21/(NFA_in_yen!J20+NFA_in_yen!K20+NFA_in_yen!L20+NFA_in_yen!N20)*100</f>
        <v>19.177293192176805</v>
      </c>
      <c r="H21" s="21">
        <f t="shared" si="8"/>
        <v>15.515260153738053</v>
      </c>
      <c r="I21" s="21">
        <f t="shared" si="9"/>
        <v>18.750419089114011</v>
      </c>
      <c r="J21" s="21">
        <f t="shared" si="10"/>
        <v>-3.2351589353759582</v>
      </c>
      <c r="K21" s="46">
        <f>NFA_in_yen!C21-NFA_in_yen!C20</f>
        <v>27913</v>
      </c>
      <c r="L21" s="26">
        <f>NFA_in_yen!J21-NFA_in_yen!J20</f>
        <v>168</v>
      </c>
      <c r="M21" s="11">
        <v>13248.5</v>
      </c>
      <c r="N21" s="11">
        <v>225</v>
      </c>
      <c r="O21" s="26">
        <f t="shared" si="11"/>
        <v>14664.5</v>
      </c>
      <c r="P21" s="26">
        <f t="shared" si="12"/>
        <v>-57</v>
      </c>
      <c r="Q21" s="21">
        <f>O21/NFA_in_yen!C20*100</f>
        <v>16.327814458931336</v>
      </c>
      <c r="R21" s="21">
        <f>P21/NFA_in_yen!J20*100</f>
        <v>-0.32008086253369272</v>
      </c>
      <c r="S21" s="21">
        <f t="shared" si="13"/>
        <v>15.911146735337912</v>
      </c>
      <c r="T21" s="21">
        <f t="shared" si="14"/>
        <v>-0.67711847377195378</v>
      </c>
      <c r="U21" s="21">
        <f t="shared" si="15"/>
        <v>16.588265209109867</v>
      </c>
      <c r="V21" s="46">
        <f>NFA_in_yen!D21-NFA_in_yen!D20</f>
        <v>15285</v>
      </c>
      <c r="W21" s="26">
        <f>NFA_in_yen!K21-NFA_in_yen!K20</f>
        <v>67391</v>
      </c>
      <c r="X21" s="11">
        <v>-6626.4</v>
      </c>
      <c r="Y21" s="11">
        <v>16692</v>
      </c>
      <c r="Z21" s="26">
        <f t="shared" si="2"/>
        <v>21911.4</v>
      </c>
      <c r="AA21" s="26">
        <f t="shared" si="3"/>
        <v>50699</v>
      </c>
      <c r="AB21" s="21">
        <f>Z21/NFA_in_yen!D20*100</f>
        <v>36.841361916771753</v>
      </c>
      <c r="AC21" s="21">
        <f>AA21/NFA_in_yen!K20*100</f>
        <v>60.676671932596108</v>
      </c>
      <c r="AD21" s="21">
        <f t="shared" si="16"/>
        <v>36.351217929897352</v>
      </c>
      <c r="AE21" s="21">
        <f t="shared" si="17"/>
        <v>60.101153657451675</v>
      </c>
      <c r="AF21" s="21">
        <f t="shared" si="18"/>
        <v>-23.749935727554323</v>
      </c>
      <c r="AG21" s="46">
        <f>NFA_in_yen!E21-NFA_in_yen!E20</f>
        <v>38818</v>
      </c>
      <c r="AH21" s="26">
        <f>NFA_in_yen!L21-NFA_in_yen!L20</f>
        <v>3966</v>
      </c>
      <c r="AI21" s="11">
        <v>-515.9</v>
      </c>
      <c r="AJ21" s="11">
        <v>1649.4</v>
      </c>
      <c r="AK21" s="26">
        <f t="shared" si="4"/>
        <v>39333.9</v>
      </c>
      <c r="AL21" s="26">
        <f t="shared" si="5"/>
        <v>2316.6</v>
      </c>
      <c r="AM21" s="21">
        <f>AK21/NFA_in_yen!E20*100</f>
        <v>16.013019211275175</v>
      </c>
      <c r="AN21" s="21">
        <f>AL21/NFA_in_yen!L20*100</f>
        <v>2.3895284069810616</v>
      </c>
      <c r="AO21" s="21">
        <f t="shared" si="19"/>
        <v>15.59747903417481</v>
      </c>
      <c r="AP21" s="21">
        <f t="shared" si="20"/>
        <v>2.0227854064392314</v>
      </c>
      <c r="AQ21" s="21">
        <f t="shared" si="21"/>
        <v>13.574693627735579</v>
      </c>
      <c r="AR21" s="46">
        <f>NFA_in_yen!G21-NFA_in_yen!G20</f>
        <v>25507</v>
      </c>
      <c r="AS21" s="26">
        <f>NFA_in_yen!N21-NFA_in_yen!N20</f>
        <v>31626</v>
      </c>
      <c r="AT21" s="11">
        <v>16923.400000000001</v>
      </c>
      <c r="AU21" s="11">
        <v>15496.1</v>
      </c>
      <c r="AV21" s="26">
        <f t="shared" si="6"/>
        <v>8583.5999999999985</v>
      </c>
      <c r="AW21" s="26">
        <f t="shared" si="7"/>
        <v>16129.9</v>
      </c>
      <c r="AX21" s="21">
        <f>AV21/NFA_in_yen!G20*100</f>
        <v>5.6141957342158788</v>
      </c>
      <c r="AY21" s="21">
        <f>AW21/NFA_in_yen!N20*100</f>
        <v>9.9598024081506651</v>
      </c>
      <c r="AZ21" s="21">
        <f t="shared" si="22"/>
        <v>5.2359024883536831</v>
      </c>
      <c r="BA21" s="21">
        <f t="shared" si="23"/>
        <v>9.5659438905700398</v>
      </c>
      <c r="BB21" s="21">
        <f t="shared" si="24"/>
        <v>-4.3300414022163567</v>
      </c>
      <c r="BC21" s="46">
        <f>NFA_in_yen!H21-NFA_in_yen!H20</f>
        <v>24065</v>
      </c>
      <c r="BD21" s="11">
        <v>3850.3782000000001</v>
      </c>
      <c r="BE21" s="26">
        <f t="shared" si="25"/>
        <v>20214.621800000001</v>
      </c>
      <c r="BF21" s="27">
        <f>BE21/NFA_in_yen!H20*100</f>
        <v>18.466913140393189</v>
      </c>
      <c r="BG21" s="8">
        <f>((1+BE21/NFA_in_yen!H20)/(1+B21/100)-1)*100</f>
        <v>18.042583505654154</v>
      </c>
      <c r="BK21" s="12"/>
      <c r="BL21" s="12"/>
    </row>
    <row r="22" spans="1:64">
      <c r="B22" s="7"/>
      <c r="K22" s="47"/>
      <c r="V22" s="47"/>
      <c r="AG22" s="47"/>
      <c r="AR22" s="47"/>
      <c r="BC22" s="47"/>
    </row>
    <row r="23" spans="1:64">
      <c r="A23" s="11" t="s">
        <v>623</v>
      </c>
      <c r="H23" s="21">
        <f>AVERAGE(H4:H21)</f>
        <v>0.63952367960997847</v>
      </c>
      <c r="I23" s="21">
        <f>AVERAGE(I4:I21)</f>
        <v>1.2536242626808258</v>
      </c>
      <c r="J23" s="21">
        <f>AVERAGE(J4:J21)</f>
        <v>-0.61410058307084681</v>
      </c>
      <c r="K23" s="47"/>
      <c r="S23" s="8">
        <f>AVERAGE(S4:S21)</f>
        <v>-2.0214924560352592</v>
      </c>
      <c r="T23" s="8">
        <f>AVERAGE(T4:T21)</f>
        <v>0.88934775016981638</v>
      </c>
      <c r="U23" s="8">
        <f>AVERAGE(U4:U21)</f>
        <v>-2.9108402062050747</v>
      </c>
      <c r="V23" s="47"/>
      <c r="AD23" s="8">
        <f>AVERAGE(AD4:AD21)</f>
        <v>5.7414960862203657</v>
      </c>
      <c r="AE23" s="8">
        <f>AVERAGE(AE4:AE21)</f>
        <v>7.5293429518764725</v>
      </c>
      <c r="AF23" s="8">
        <f>AVERAGE(AF4:AF21)</f>
        <v>-1.7878468656561084</v>
      </c>
      <c r="AG23" s="47"/>
      <c r="AO23" s="8">
        <f>AVERAGE(AO4:AO21)</f>
        <v>0.74139764467809077</v>
      </c>
      <c r="AP23" s="8">
        <f>AVERAGE(AP4:AP21)</f>
        <v>-2.075191265417855</v>
      </c>
      <c r="AQ23" s="8">
        <f>AVERAGE(AQ4:AQ21)</f>
        <v>2.816588910095946</v>
      </c>
      <c r="AR23" s="47"/>
      <c r="AZ23" s="8">
        <f>AVERAGE(AZ4:AZ21)</f>
        <v>0.33384707510368633</v>
      </c>
      <c r="BA23" s="8">
        <f>AVERAGE(BA4:BA21)</f>
        <v>1.8703938972656406</v>
      </c>
      <c r="BB23" s="8">
        <f>AVERAGE(BB4:BB21)</f>
        <v>-1.5365468221619545</v>
      </c>
      <c r="BC23" s="47"/>
      <c r="BF23" s="21"/>
      <c r="BG23" s="8">
        <f>AVERAGE(BG4:BG21)</f>
        <v>1.8167922706582063</v>
      </c>
    </row>
    <row r="24" spans="1:64">
      <c r="A24" s="5"/>
    </row>
    <row r="25" spans="1:64">
      <c r="A25" s="11" t="s">
        <v>213</v>
      </c>
      <c r="H25" s="21"/>
      <c r="I25" s="21"/>
      <c r="J25" s="21"/>
    </row>
    <row r="26" spans="1:64">
      <c r="A26" s="11" t="s">
        <v>214</v>
      </c>
      <c r="H26" s="21"/>
      <c r="I26" s="21"/>
    </row>
    <row r="27" spans="1:64">
      <c r="A27" s="45" t="s">
        <v>215</v>
      </c>
      <c r="J27" s="21"/>
    </row>
    <row r="29" spans="1:64">
      <c r="A29" s="11" t="s">
        <v>216</v>
      </c>
    </row>
    <row r="30" spans="1:64">
      <c r="A30" s="11" t="s">
        <v>217</v>
      </c>
    </row>
    <row r="32" spans="1:64">
      <c r="A32" s="11" t="s">
        <v>219</v>
      </c>
    </row>
  </sheetData>
  <phoneticPr fontId="4"/>
  <hyperlinks>
    <hyperlink ref="A27" r:id="rId1"/>
  </hyperlinks>
  <pageMargins left="0.7" right="0.7" top="0.75" bottom="0.75" header="0.3" footer="0.3"/>
  <pageSetup orientation="portrait" horizontalDpi="4294967292" verticalDpi="4294967292"/>
  <legacy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3"/>
  <sheetViews>
    <sheetView workbookViewId="0">
      <pane xSplit="1" ySplit="3" topLeftCell="B4" activePane="bottomRight" state="frozen"/>
      <selection pane="topRight" activeCell="B1" sqref="B1"/>
      <selection pane="bottomLeft" activeCell="A4" sqref="A4"/>
      <selection pane="bottomRight"/>
    </sheetView>
  </sheetViews>
  <sheetFormatPr baseColWidth="12" defaultRowHeight="18" x14ac:dyDescent="0"/>
  <cols>
    <col min="1" max="41" width="12.83203125" style="11"/>
  </cols>
  <sheetData>
    <row r="1" spans="1:59">
      <c r="B1" s="6" t="s">
        <v>661</v>
      </c>
      <c r="C1" s="7"/>
      <c r="D1" s="7"/>
      <c r="E1" s="7"/>
      <c r="F1" s="7"/>
      <c r="G1" s="6" t="s">
        <v>660</v>
      </c>
      <c r="H1" s="7"/>
      <c r="I1" s="7"/>
      <c r="J1" s="7"/>
      <c r="K1" s="7"/>
      <c r="M1" s="51" t="s">
        <v>223</v>
      </c>
      <c r="N1" s="7"/>
      <c r="O1" s="7"/>
      <c r="P1" s="7"/>
      <c r="Q1" s="7"/>
      <c r="R1" s="6" t="s">
        <v>224</v>
      </c>
      <c r="S1" s="7"/>
      <c r="T1" s="7"/>
      <c r="U1" s="7"/>
      <c r="V1" s="7"/>
      <c r="Z1" s="51" t="s">
        <v>225</v>
      </c>
      <c r="AA1" s="7"/>
      <c r="AB1" s="7"/>
      <c r="AC1" s="7"/>
      <c r="AD1" s="7"/>
      <c r="AE1" s="6" t="s">
        <v>226</v>
      </c>
      <c r="AF1" s="7"/>
      <c r="AG1" s="7"/>
      <c r="AH1" s="7"/>
      <c r="AI1" s="7"/>
      <c r="AK1" s="47" t="s">
        <v>40</v>
      </c>
    </row>
    <row r="2" spans="1:59" ht="46">
      <c r="B2" s="10" t="s">
        <v>136</v>
      </c>
      <c r="C2" s="10" t="s">
        <v>134</v>
      </c>
      <c r="D2" s="10" t="s">
        <v>135</v>
      </c>
      <c r="E2" s="10" t="s">
        <v>137</v>
      </c>
      <c r="F2" s="10" t="s">
        <v>138</v>
      </c>
      <c r="G2" s="10" t="s">
        <v>139</v>
      </c>
      <c r="H2" s="10" t="s">
        <v>140</v>
      </c>
      <c r="I2" s="10" t="s">
        <v>141</v>
      </c>
      <c r="J2" s="10" t="s">
        <v>142</v>
      </c>
      <c r="K2" s="10" t="s">
        <v>143</v>
      </c>
      <c r="M2" s="52" t="s">
        <v>136</v>
      </c>
      <c r="N2" s="10" t="s">
        <v>134</v>
      </c>
      <c r="O2" s="10" t="s">
        <v>135</v>
      </c>
      <c r="P2" s="10" t="s">
        <v>137</v>
      </c>
      <c r="Q2" s="10" t="s">
        <v>138</v>
      </c>
      <c r="R2" s="10" t="s">
        <v>139</v>
      </c>
      <c r="S2" s="10" t="s">
        <v>140</v>
      </c>
      <c r="T2" s="10" t="s">
        <v>141</v>
      </c>
      <c r="U2" s="10" t="s">
        <v>142</v>
      </c>
      <c r="V2" s="10" t="s">
        <v>143</v>
      </c>
      <c r="X2" s="10" t="s">
        <v>39</v>
      </c>
      <c r="Z2" s="52" t="s">
        <v>136</v>
      </c>
      <c r="AA2" s="10" t="s">
        <v>134</v>
      </c>
      <c r="AB2" s="10" t="s">
        <v>135</v>
      </c>
      <c r="AC2" s="10" t="s">
        <v>137</v>
      </c>
      <c r="AD2" s="10" t="s">
        <v>138</v>
      </c>
      <c r="AE2" s="10" t="s">
        <v>139</v>
      </c>
      <c r="AF2" s="10" t="s">
        <v>140</v>
      </c>
      <c r="AG2" s="10" t="s">
        <v>141</v>
      </c>
      <c r="AH2" s="10" t="s">
        <v>142</v>
      </c>
      <c r="AI2" s="10" t="s">
        <v>143</v>
      </c>
      <c r="AK2" s="52" t="s">
        <v>133</v>
      </c>
      <c r="AL2" s="10" t="s">
        <v>144</v>
      </c>
      <c r="AM2" s="10" t="s">
        <v>145</v>
      </c>
      <c r="AN2" s="10" t="s">
        <v>146</v>
      </c>
      <c r="AO2" s="10" t="s">
        <v>147</v>
      </c>
    </row>
    <row r="3" spans="1:59">
      <c r="B3" s="10" t="s">
        <v>210</v>
      </c>
      <c r="C3" s="10" t="s">
        <v>210</v>
      </c>
      <c r="D3" s="10" t="s">
        <v>210</v>
      </c>
      <c r="E3" s="10" t="s">
        <v>210</v>
      </c>
      <c r="F3" s="10" t="s">
        <v>210</v>
      </c>
      <c r="G3" s="10" t="s">
        <v>210</v>
      </c>
      <c r="H3" s="10" t="s">
        <v>210</v>
      </c>
      <c r="I3" s="10" t="s">
        <v>210</v>
      </c>
      <c r="J3" s="10" t="s">
        <v>210</v>
      </c>
      <c r="K3" s="10" t="s">
        <v>210</v>
      </c>
      <c r="M3" s="52" t="s">
        <v>662</v>
      </c>
      <c r="N3" s="10" t="s">
        <v>201</v>
      </c>
      <c r="O3" s="10" t="s">
        <v>201</v>
      </c>
      <c r="P3" s="10" t="s">
        <v>201</v>
      </c>
      <c r="Q3" s="10" t="s">
        <v>201</v>
      </c>
      <c r="R3" s="10" t="s">
        <v>201</v>
      </c>
      <c r="S3" s="10" t="s">
        <v>201</v>
      </c>
      <c r="T3" s="10" t="s">
        <v>201</v>
      </c>
      <c r="U3" s="10" t="s">
        <v>201</v>
      </c>
      <c r="V3" s="10" t="s">
        <v>201</v>
      </c>
      <c r="X3" s="10" t="s">
        <v>403</v>
      </c>
      <c r="Z3" s="52" t="s">
        <v>404</v>
      </c>
      <c r="AA3" s="10" t="s">
        <v>403</v>
      </c>
      <c r="AB3" s="10" t="s">
        <v>403</v>
      </c>
      <c r="AC3" s="10" t="s">
        <v>403</v>
      </c>
      <c r="AD3" s="10" t="s">
        <v>403</v>
      </c>
      <c r="AE3" s="10" t="s">
        <v>403</v>
      </c>
      <c r="AF3" s="10" t="s">
        <v>403</v>
      </c>
      <c r="AG3" s="10" t="s">
        <v>403</v>
      </c>
      <c r="AH3" s="10" t="s">
        <v>403</v>
      </c>
      <c r="AI3" s="10" t="s">
        <v>403</v>
      </c>
      <c r="AK3" s="52" t="s">
        <v>403</v>
      </c>
      <c r="AL3" s="10" t="s">
        <v>403</v>
      </c>
      <c r="AM3" s="10" t="s">
        <v>403</v>
      </c>
      <c r="AN3" s="10" t="s">
        <v>403</v>
      </c>
      <c r="AO3" s="10" t="s">
        <v>403</v>
      </c>
    </row>
    <row r="4" spans="1:59">
      <c r="A4" s="11">
        <v>1996</v>
      </c>
      <c r="B4" s="26">
        <f>Balance_on_income!B4+'Stock-flow'!D4</f>
        <v>26367.23</v>
      </c>
      <c r="C4" s="26">
        <f>Balance_on_income!C4+'Stock-flow'!O4</f>
        <v>4517.2999999999993</v>
      </c>
      <c r="D4" s="26">
        <f>Balance_on_income!D4+'Stock-flow'!Z4</f>
        <v>2580.6999999999998</v>
      </c>
      <c r="E4" s="26">
        <f>Balance_on_income!E4+'Stock-flow'!AK4</f>
        <v>15525.3</v>
      </c>
      <c r="F4" s="26">
        <f>Balance_on_income!F4+'Stock-flow'!AV4</f>
        <v>1099.9000000000001</v>
      </c>
      <c r="G4" s="26">
        <f>Balance_on_income!G4+'Stock-flow'!E4</f>
        <v>7364.5</v>
      </c>
      <c r="H4" s="26">
        <f>Balance_on_income!H4+'Stock-flow'!P4</f>
        <v>391.5</v>
      </c>
      <c r="I4" s="26">
        <f>Balance_on_income!I4+'Stock-flow'!AA4</f>
        <v>-353.89999999999981</v>
      </c>
      <c r="J4" s="26">
        <f>Balance_on_income!J4+'Stock-flow'!AL4</f>
        <v>4599.7</v>
      </c>
      <c r="K4" s="26">
        <f>Balance_on_income!K4+'Stock-flow'!AW4</f>
        <v>2727.2000000000003</v>
      </c>
      <c r="M4" s="53">
        <f>B4/(NFA_in_yen!C3+NFA_in_yen!D3+NFA_in_yen!E3+NFA_in_yen!G3+NFA_in_yen!H3)*100</f>
        <v>9.7390207506888586</v>
      </c>
      <c r="N4" s="8">
        <f>C4/NFA_in_yen!C3*100</f>
        <v>18.42292006525285</v>
      </c>
      <c r="O4" s="8">
        <f>D4/NFA_in_yen!D3*100</f>
        <v>17.158909574468083</v>
      </c>
      <c r="P4" s="8">
        <f>E4/NFA_in_yen!E3*100</f>
        <v>21.204501686766733</v>
      </c>
      <c r="Q4" s="8">
        <f>F4/NFA_in_yen!G3*100</f>
        <v>0.79056127766317597</v>
      </c>
      <c r="R4" s="8">
        <f>G4/(NFA_in_yen!J3+NFA_in_yen!K3+NFA_in_yen!L3+NFA_in_yen!N3)*100</f>
        <v>3.9452819474355265</v>
      </c>
      <c r="S4" s="8">
        <f>H4/NFA_in_yen!J3*100</f>
        <v>11.354408352668214</v>
      </c>
      <c r="T4" s="8">
        <f>I4/NFA_in_yen!K3*100</f>
        <v>-1.1236704238768052</v>
      </c>
      <c r="U4" s="8">
        <f>J4/NFA_in_yen!L3*100</f>
        <v>18.48456839736377</v>
      </c>
      <c r="V4" s="8">
        <f>K4/NFA_in_yen!N3*100</f>
        <v>2.150127326768581</v>
      </c>
      <c r="W4" s="8"/>
      <c r="X4" s="8">
        <f>yield!M4</f>
        <v>0.131871754719214</v>
      </c>
      <c r="Y4" s="8"/>
      <c r="Z4" s="53">
        <f t="shared" ref="Z4:AI4" si="0">((1+M4/100)/(1+$X4/100)-1)*100</f>
        <v>9.5944965649929372</v>
      </c>
      <c r="AA4" s="8">
        <f t="shared" si="0"/>
        <v>18.266959350704038</v>
      </c>
      <c r="AB4" s="8">
        <f t="shared" si="0"/>
        <v>17.004613537493761</v>
      </c>
      <c r="AC4" s="8">
        <f t="shared" si="0"/>
        <v>21.04487768256902</v>
      </c>
      <c r="AD4" s="8">
        <f t="shared" si="0"/>
        <v>0.6578220414749536</v>
      </c>
      <c r="AE4" s="8">
        <f t="shared" si="0"/>
        <v>3.8083880046281049</v>
      </c>
      <c r="AF4" s="8">
        <f t="shared" si="0"/>
        <v>11.207756732481222</v>
      </c>
      <c r="AG4" s="8">
        <f t="shared" si="0"/>
        <v>-1.2538886536262561</v>
      </c>
      <c r="AH4" s="8">
        <f t="shared" si="0"/>
        <v>18.328526493143869</v>
      </c>
      <c r="AI4" s="8">
        <f t="shared" si="0"/>
        <v>2.0155975681681593</v>
      </c>
      <c r="AJ4" s="8"/>
      <c r="AK4" s="53">
        <f>Z4-AE4</f>
        <v>5.7861085603648323</v>
      </c>
      <c r="AL4" s="8">
        <f t="shared" ref="AL4:AO19" si="1">AA4-AF4</f>
        <v>7.059202618222816</v>
      </c>
      <c r="AM4" s="8">
        <f t="shared" si="1"/>
        <v>18.258502191120016</v>
      </c>
      <c r="AN4" s="8">
        <f t="shared" si="1"/>
        <v>2.7163511894251506</v>
      </c>
      <c r="AO4" s="8">
        <f t="shared" si="1"/>
        <v>-1.3577755266932057</v>
      </c>
      <c r="BC4" s="20"/>
      <c r="BD4" s="20"/>
      <c r="BE4" s="20"/>
      <c r="BF4" s="20"/>
      <c r="BG4" s="20"/>
    </row>
    <row r="5" spans="1:59">
      <c r="A5" s="11">
        <v>1997</v>
      </c>
      <c r="B5" s="26">
        <f>Balance_on_income!B5+'Stock-flow'!D5</f>
        <v>24631.14</v>
      </c>
      <c r="C5" s="26">
        <f>Balance_on_income!C5+'Stock-flow'!O5</f>
        <v>4135.1000000000004</v>
      </c>
      <c r="D5" s="26">
        <f>Balance_on_income!D5+'Stock-flow'!Z5</f>
        <v>1671.1</v>
      </c>
      <c r="E5" s="26">
        <f>Balance_on_income!E5+'Stock-flow'!AK5</f>
        <v>10628.8</v>
      </c>
      <c r="F5" s="26">
        <f>Balance_on_income!F5+'Stock-flow'!AV5</f>
        <v>5511.2000000000016</v>
      </c>
      <c r="G5" s="26">
        <f>Balance_on_income!G5+'Stock-flow'!E5</f>
        <v>10958</v>
      </c>
      <c r="H5" s="26">
        <f>Balance_on_income!H5+'Stock-flow'!P5</f>
        <v>136.40000000000003</v>
      </c>
      <c r="I5" s="26">
        <f>Balance_on_income!I5+'Stock-flow'!AA5</f>
        <v>-3186.4</v>
      </c>
      <c r="J5" s="26">
        <f>Balance_on_income!J5+'Stock-flow'!AL5</f>
        <v>6271.4</v>
      </c>
      <c r="K5" s="26">
        <f>Balance_on_income!K5+'Stock-flow'!AW5</f>
        <v>7736.6</v>
      </c>
      <c r="M5" s="53">
        <f>B5/(NFA_in_yen!C4+NFA_in_yen!D4+NFA_in_yen!E4+NFA_in_yen!G4+NFA_in_yen!H4)*100</f>
        <v>8.1620065080953541</v>
      </c>
      <c r="N5" s="8">
        <f>C5/NFA_in_yen!C4*100</f>
        <v>13.784126137537919</v>
      </c>
      <c r="O5" s="8">
        <f>D5/NFA_in_yen!D4*100</f>
        <v>9.2885331554666219</v>
      </c>
      <c r="P5" s="8">
        <f>E5/NFA_in_yen!E4*100</f>
        <v>11.407474188078218</v>
      </c>
      <c r="Q5" s="8">
        <f>F5/NFA_in_yen!G4*100</f>
        <v>4.0711520846260685</v>
      </c>
      <c r="R5" s="8">
        <f>G5/(NFA_in_yen!J4+NFA_in_yen!K4+NFA_in_yen!L4+NFA_in_yen!N4)*100</f>
        <v>5.518651511107306</v>
      </c>
      <c r="S5" s="8">
        <f>H5/NFA_in_yen!J4*100</f>
        <v>3.9274402533832431</v>
      </c>
      <c r="T5" s="8">
        <f>I5/NFA_in_yen!K4*100</f>
        <v>-8.7886142983230364</v>
      </c>
      <c r="U5" s="8">
        <f>J5/NFA_in_yen!L4*100</f>
        <v>21.030146541028135</v>
      </c>
      <c r="V5" s="8">
        <f>K5/NFA_in_yen!N4*100</f>
        <v>5.9967600164324528</v>
      </c>
      <c r="W5" s="8"/>
      <c r="X5" s="8">
        <f>yield!M5</f>
        <v>1.7614618487114999</v>
      </c>
      <c r="Y5" s="8"/>
      <c r="Z5" s="53">
        <f t="shared" ref="Z5:Z21" si="2">((1+M5/100)/(1+$X5/100)-1)*100</f>
        <v>6.2897530588736261</v>
      </c>
      <c r="AA5" s="8">
        <f t="shared" ref="AA5:AA21" si="3">((1+N5/100)/(1+$X5/100)-1)*100</f>
        <v>11.814555402811022</v>
      </c>
      <c r="AB5" s="8">
        <f t="shared" ref="AB5:AB21" si="4">((1+O5/100)/(1+$X5/100)-1)*100</f>
        <v>7.3967798516353822</v>
      </c>
      <c r="AC5" s="8">
        <f t="shared" ref="AC5:AC21" si="5">((1+P5/100)/(1+$X5/100)-1)*100</f>
        <v>9.4790426199924394</v>
      </c>
      <c r="AD5" s="8">
        <f t="shared" ref="AD5:AD21" si="6">((1+Q5/100)/(1+$X5/100)-1)*100</f>
        <v>2.2697101574153722</v>
      </c>
      <c r="AE5" s="8">
        <f t="shared" ref="AE5:AE21" si="7">((1+R5/100)/(1+$X5/100)-1)*100</f>
        <v>3.6921537821278605</v>
      </c>
      <c r="AF5" s="8">
        <f t="shared" ref="AF5:AF21" si="8">((1+S5/100)/(1+$X5/100)-1)*100</f>
        <v>2.1284859369373965</v>
      </c>
      <c r="AG5" s="8">
        <f t="shared" ref="AG5:AG21" si="9">((1+T5/100)/(1+$X5/100)-1)*100</f>
        <v>-10.367457341286347</v>
      </c>
      <c r="AH5" s="8">
        <f t="shared" ref="AH5:AH21" si="10">((1+U5/100)/(1+$X5/100)-1)*100</f>
        <v>18.935149262068695</v>
      </c>
      <c r="AI5" s="8">
        <f t="shared" ref="AI5:AI21" si="11">((1+V5/100)/(1+$X5/100)-1)*100</f>
        <v>4.1619863657398559</v>
      </c>
      <c r="AJ5" s="8"/>
      <c r="AK5" s="53">
        <f t="shared" ref="AK5:AK20" si="12">Z5-AE5</f>
        <v>2.5975992767457656</v>
      </c>
      <c r="AL5" s="8">
        <f t="shared" si="1"/>
        <v>9.6860694658736257</v>
      </c>
      <c r="AM5" s="8">
        <f t="shared" si="1"/>
        <v>17.76423719292173</v>
      </c>
      <c r="AN5" s="8">
        <f t="shared" si="1"/>
        <v>-9.4561066420762554</v>
      </c>
      <c r="AO5" s="8">
        <f t="shared" si="1"/>
        <v>-1.8922762083244837</v>
      </c>
      <c r="BC5" s="20"/>
      <c r="BD5" s="20"/>
      <c r="BE5" s="20"/>
      <c r="BF5" s="20"/>
      <c r="BG5" s="20"/>
    </row>
    <row r="6" spans="1:59">
      <c r="A6" s="11">
        <v>1998</v>
      </c>
      <c r="B6" s="26">
        <f>Balance_on_income!B6+'Stock-flow'!D6</f>
        <v>-5778.1099999999988</v>
      </c>
      <c r="C6" s="26">
        <f>Balance_on_income!C6+'Stock-flow'!O6</f>
        <v>-5656.4</v>
      </c>
      <c r="D6" s="26">
        <f>Balance_on_income!D6+'Stock-flow'!Z6</f>
        <v>2473.6999999999998</v>
      </c>
      <c r="E6" s="26">
        <f>Balance_on_income!E6+'Stock-flow'!AK6</f>
        <v>-2309.0999999999995</v>
      </c>
      <c r="F6" s="26">
        <f>Balance_on_income!F6+'Stock-flow'!AV6</f>
        <v>2546.1000000000004</v>
      </c>
      <c r="G6" s="26">
        <f>Balance_on_income!G6+'Stock-flow'!E6</f>
        <v>-7327.7</v>
      </c>
      <c r="H6" s="26">
        <f>Balance_on_income!H6+'Stock-flow'!P6</f>
        <v>-598.59999999999991</v>
      </c>
      <c r="I6" s="26">
        <f>Balance_on_income!I6+'Stock-flow'!AA6</f>
        <v>-2727.3</v>
      </c>
      <c r="J6" s="26">
        <f>Balance_on_income!J6+'Stock-flow'!AL6</f>
        <v>-3156.3999999999996</v>
      </c>
      <c r="K6" s="26">
        <f>Balance_on_income!K6+'Stock-flow'!AW6</f>
        <v>-845.40000000000009</v>
      </c>
      <c r="M6" s="53">
        <f>B6/(NFA_in_yen!C5+NFA_in_yen!D5+NFA_in_yen!E5+NFA_in_yen!G5+NFA_in_yen!H5)*100</f>
        <v>-1.6702105211431673</v>
      </c>
      <c r="N6" s="8">
        <f>C6/NFA_in_yen!C5*100</f>
        <v>-16.008377200430179</v>
      </c>
      <c r="O6" s="8">
        <f>D6/NFA_in_yen!D5*100</f>
        <v>11.987884661982068</v>
      </c>
      <c r="P6" s="8">
        <f>E6/NFA_in_yen!E5*100</f>
        <v>-2.2826667193894692</v>
      </c>
      <c r="Q6" s="8">
        <f>F6/NFA_in_yen!G5*100</f>
        <v>1.5900106787567683</v>
      </c>
      <c r="R6" s="8">
        <f>G6/(NFA_in_yen!J5+NFA_in_yen!K5+NFA_in_yen!L5+NFA_in_yen!N5)*100</f>
        <v>-3.3096361870779791</v>
      </c>
      <c r="S6" s="8">
        <f>H6/NFA_in_yen!J5*100</f>
        <v>-17.010514350667801</v>
      </c>
      <c r="T6" s="8">
        <f>I6/NFA_in_yen!K5*100</f>
        <v>-7.5682650682650694</v>
      </c>
      <c r="U6" s="8">
        <f>J6/NFA_in_yen!L5*100</f>
        <v>-7.7094426261540709</v>
      </c>
      <c r="V6" s="8">
        <f>K6/NFA_in_yen!N5*100</f>
        <v>-0.59996593522014374</v>
      </c>
      <c r="W6" s="8"/>
      <c r="X6" s="8">
        <f>yield!M6</f>
        <v>0.66326943298518903</v>
      </c>
      <c r="Y6" s="8"/>
      <c r="Z6" s="53">
        <f t="shared" si="2"/>
        <v>-2.3181046743984579</v>
      </c>
      <c r="AA6" s="8">
        <f t="shared" si="3"/>
        <v>-16.561797294408585</v>
      </c>
      <c r="AB6" s="8">
        <f t="shared" si="4"/>
        <v>11.249997434800241</v>
      </c>
      <c r="AC6" s="8">
        <f t="shared" si="5"/>
        <v>-2.9265254039218869</v>
      </c>
      <c r="AD6" s="8">
        <f t="shared" si="6"/>
        <v>0.92063495552223706</v>
      </c>
      <c r="AE6" s="8">
        <f t="shared" si="7"/>
        <v>-3.9467281784524744</v>
      </c>
      <c r="AF6" s="8">
        <f t="shared" si="8"/>
        <v>-17.557331371418449</v>
      </c>
      <c r="AG6" s="8">
        <f t="shared" si="9"/>
        <v>-8.1772969898720067</v>
      </c>
      <c r="AH6" s="8">
        <f t="shared" si="10"/>
        <v>-8.3175443300232192</v>
      </c>
      <c r="AI6" s="8">
        <f t="shared" si="11"/>
        <v>-1.2549119210223059</v>
      </c>
      <c r="AJ6" s="8"/>
      <c r="AK6" s="53">
        <f t="shared" si="12"/>
        <v>1.6286235040540165</v>
      </c>
      <c r="AL6" s="8">
        <f t="shared" si="1"/>
        <v>0.9955340770098644</v>
      </c>
      <c r="AM6" s="8">
        <f t="shared" si="1"/>
        <v>19.427294424672247</v>
      </c>
      <c r="AN6" s="8">
        <f t="shared" si="1"/>
        <v>5.3910189261013324</v>
      </c>
      <c r="AO6" s="8">
        <f t="shared" si="1"/>
        <v>2.1755468765445429</v>
      </c>
      <c r="BC6" s="20"/>
      <c r="BD6" s="20"/>
      <c r="BE6" s="20"/>
      <c r="BF6" s="20"/>
      <c r="BG6" s="20"/>
    </row>
    <row r="7" spans="1:59">
      <c r="A7" s="11">
        <v>1999</v>
      </c>
      <c r="B7" s="26">
        <f>Balance_on_income!B7+'Stock-flow'!D7</f>
        <v>-19525.46</v>
      </c>
      <c r="C7" s="26">
        <f>Balance_on_income!C7+'Stock-flow'!O7</f>
        <v>-7678.1999999999989</v>
      </c>
      <c r="D7" s="26">
        <f>Balance_on_income!D7+'Stock-flow'!Z7</f>
        <v>2087.6</v>
      </c>
      <c r="E7" s="26">
        <f>Balance_on_income!E7+'Stock-flow'!AK7</f>
        <v>-9365.4</v>
      </c>
      <c r="F7" s="26">
        <f>Balance_on_income!F7+'Stock-flow'!AV7</f>
        <v>-309.19999999999845</v>
      </c>
      <c r="G7" s="26">
        <f>Balance_on_income!G7+'Stock-flow'!E7</f>
        <v>35347.5</v>
      </c>
      <c r="H7" s="26">
        <f>Balance_on_income!H7+'Stock-flow'!P7</f>
        <v>517.79999999999995</v>
      </c>
      <c r="I7" s="26">
        <f>Balance_on_income!I7+'Stock-flow'!AA7</f>
        <v>37945.299999999996</v>
      </c>
      <c r="J7" s="26">
        <f>Balance_on_income!J7+'Stock-flow'!AL7</f>
        <v>-9067.5999999999985</v>
      </c>
      <c r="K7" s="26">
        <f>Balance_on_income!K7+'Stock-flow'!AW7</f>
        <v>5952.0000000000018</v>
      </c>
      <c r="M7" s="53">
        <f>B7/(NFA_in_yen!C6+NFA_in_yen!D6+NFA_in_yen!E6+NFA_in_yen!G6+NFA_in_yen!H6)*100</f>
        <v>-5.807899151665139</v>
      </c>
      <c r="N7" s="8">
        <f>C7/NFA_in_yen!C6*100</f>
        <v>-24.597001537672984</v>
      </c>
      <c r="O7" s="8">
        <f>D7/NFA_in_yen!D6*100</f>
        <v>8.6239517494939477</v>
      </c>
      <c r="P7" s="8">
        <f>E7/NFA_in_yen!E6*100</f>
        <v>-9.0475592437664822</v>
      </c>
      <c r="Q7" s="8">
        <f>F7/NFA_in_yen!G6*100</f>
        <v>-0.20290045278561486</v>
      </c>
      <c r="R7" s="8">
        <f>G7/(NFA_in_yen!J6+NFA_in_yen!K6+NFA_in_yen!L6+NFA_in_yen!N6)*100</f>
        <v>17.414363062188698</v>
      </c>
      <c r="S7" s="8">
        <f>H7/NFA_in_yen!J6*100</f>
        <v>17.185529372718218</v>
      </c>
      <c r="T7" s="8">
        <f>I7/NFA_in_yen!K6*100</f>
        <v>108.685303468622</v>
      </c>
      <c r="U7" s="8">
        <f>J7/NFA_in_yen!L6*100</f>
        <v>-21.89131117066222</v>
      </c>
      <c r="V7" s="8">
        <f>K7/NFA_in_yen!N6*100</f>
        <v>4.8142875630904634</v>
      </c>
      <c r="W7" s="8"/>
      <c r="X7" s="8">
        <f>yield!M7</f>
        <v>-0.32944957814319398</v>
      </c>
      <c r="Y7" s="8"/>
      <c r="Z7" s="53">
        <f t="shared" si="2"/>
        <v>-5.4965579605353305</v>
      </c>
      <c r="AA7" s="8">
        <f t="shared" si="3"/>
        <v>-24.347765570489056</v>
      </c>
      <c r="AB7" s="8">
        <f t="shared" si="4"/>
        <v>8.9829957693037485</v>
      </c>
      <c r="AC7" s="8">
        <f t="shared" si="5"/>
        <v>-8.7469263776750346</v>
      </c>
      <c r="AD7" s="8">
        <f t="shared" si="6"/>
        <v>0.12696741898379216</v>
      </c>
      <c r="AE7" s="8">
        <f t="shared" si="7"/>
        <v>17.802462778855933</v>
      </c>
      <c r="AF7" s="8">
        <f t="shared" si="8"/>
        <v>17.572872705858501</v>
      </c>
      <c r="AG7" s="8">
        <f t="shared" si="9"/>
        <v>109.37508881546142</v>
      </c>
      <c r="AH7" s="8">
        <f t="shared" si="10"/>
        <v>-21.633131854151689</v>
      </c>
      <c r="AI7" s="8">
        <f t="shared" si="11"/>
        <v>5.1607391746736786</v>
      </c>
      <c r="AJ7" s="8"/>
      <c r="AK7" s="53">
        <f t="shared" si="12"/>
        <v>-23.299020739391263</v>
      </c>
      <c r="AL7" s="8">
        <f t="shared" si="1"/>
        <v>-41.92063827634756</v>
      </c>
      <c r="AM7" s="8">
        <f t="shared" si="1"/>
        <v>-100.39209304615767</v>
      </c>
      <c r="AN7" s="8">
        <f t="shared" si="1"/>
        <v>12.886205476476654</v>
      </c>
      <c r="AO7" s="8">
        <f t="shared" si="1"/>
        <v>-5.0337717556898864</v>
      </c>
      <c r="BC7" s="20"/>
      <c r="BD7" s="20"/>
      <c r="BE7" s="20"/>
      <c r="BF7" s="20"/>
      <c r="BG7" s="20"/>
    </row>
    <row r="8" spans="1:59">
      <c r="A8" s="11">
        <v>2000</v>
      </c>
      <c r="B8" s="26">
        <f>Balance_on_income!B8+'Stock-flow'!D8</f>
        <v>29880.579999999998</v>
      </c>
      <c r="C8" s="26">
        <f>Balance_on_income!C8+'Stock-flow'!O8</f>
        <v>4057.8</v>
      </c>
      <c r="D8" s="26">
        <f>Balance_on_income!D8+'Stock-flow'!Z8</f>
        <v>-381.99999999999989</v>
      </c>
      <c r="E8" s="26">
        <f>Balance_on_income!E8+'Stock-flow'!AK8</f>
        <v>16490.2</v>
      </c>
      <c r="F8" s="26">
        <f>Balance_on_income!F8+'Stock-flow'!AV8</f>
        <v>2895.5</v>
      </c>
      <c r="G8" s="26">
        <f>Balance_on_income!G8+'Stock-flow'!E8</f>
        <v>-11879.3</v>
      </c>
      <c r="H8" s="26">
        <f>Balance_on_income!H8+'Stock-flow'!P8</f>
        <v>454.70000000000005</v>
      </c>
      <c r="I8" s="26">
        <f>Balance_on_income!I8+'Stock-flow'!AA8</f>
        <v>-20772</v>
      </c>
      <c r="J8" s="26">
        <f>Balance_on_income!J8+'Stock-flow'!AL8</f>
        <v>404.69999999999982</v>
      </c>
      <c r="K8" s="26">
        <f>Balance_on_income!K8+'Stock-flow'!AW8</f>
        <v>8033.3</v>
      </c>
      <c r="M8" s="53">
        <f>B8/(NFA_in_yen!C7+NFA_in_yen!D7+NFA_in_yen!E7+NFA_in_yen!G7+NFA_in_yen!H7)*100</f>
        <v>9.8564053846331454</v>
      </c>
      <c r="N8" s="8">
        <f>C8/NFA_in_yen!C7*100</f>
        <v>15.959882005899706</v>
      </c>
      <c r="O8" s="8">
        <f>D8/NFA_in_yen!D7*100</f>
        <v>-1.3095646211861498</v>
      </c>
      <c r="P8" s="8">
        <f>E8/NFA_in_yen!E7*100</f>
        <v>16.085175286291189</v>
      </c>
      <c r="Q8" s="8">
        <f>F8/NFA_in_yen!G7*100</f>
        <v>2.4822543035457101</v>
      </c>
      <c r="R8" s="8">
        <f>G8/(NFA_in_yen!J7+NFA_in_yen!K7+NFA_in_yen!L7+NFA_in_yen!N7)*100</f>
        <v>-5.4352083161757303</v>
      </c>
      <c r="S8" s="8">
        <f>H8/NFA_in_yen!J7*100</f>
        <v>9.6477827286229587</v>
      </c>
      <c r="T8" s="8">
        <f>I8/NFA_in_yen!K7*100</f>
        <v>-24.607292629184734</v>
      </c>
      <c r="U8" s="8">
        <f>J8/NFA_in_yen!L7*100</f>
        <v>1.1910648066395899</v>
      </c>
      <c r="V8" s="8">
        <f>K8/NFA_in_yen!N7*100</f>
        <v>8.4156216935374051</v>
      </c>
      <c r="W8" s="8"/>
      <c r="X8" s="8">
        <f>yield!M8</f>
        <v>-0.65301515640115204</v>
      </c>
      <c r="Y8" s="8"/>
      <c r="Z8" s="53">
        <f t="shared" si="2"/>
        <v>10.578499747706683</v>
      </c>
      <c r="AA8" s="8">
        <f t="shared" si="3"/>
        <v>16.722094976968261</v>
      </c>
      <c r="AB8" s="8">
        <f t="shared" si="4"/>
        <v>-0.66086501348642246</v>
      </c>
      <c r="AC8" s="8">
        <f t="shared" si="5"/>
        <v>16.848211819455948</v>
      </c>
      <c r="AD8" s="8">
        <f t="shared" si="6"/>
        <v>3.155877820431785</v>
      </c>
      <c r="AE8" s="8">
        <f t="shared" si="7"/>
        <v>-4.8136268728267373</v>
      </c>
      <c r="AF8" s="8">
        <f t="shared" si="8"/>
        <v>10.36850579938644</v>
      </c>
      <c r="AG8" s="8">
        <f t="shared" si="9"/>
        <v>-24.111730728914026</v>
      </c>
      <c r="AH8" s="8">
        <f t="shared" si="10"/>
        <v>1.856201238461197</v>
      </c>
      <c r="AI8" s="8">
        <f t="shared" si="11"/>
        <v>9.1282456777276533</v>
      </c>
      <c r="AJ8" s="8"/>
      <c r="AK8" s="53">
        <f t="shared" si="12"/>
        <v>15.392126620533421</v>
      </c>
      <c r="AL8" s="8">
        <f t="shared" si="1"/>
        <v>6.3535891775818207</v>
      </c>
      <c r="AM8" s="8">
        <f t="shared" si="1"/>
        <v>23.450865715427604</v>
      </c>
      <c r="AN8" s="8">
        <f t="shared" si="1"/>
        <v>14.992010580994751</v>
      </c>
      <c r="AO8" s="8">
        <f t="shared" si="1"/>
        <v>-5.9723678572958683</v>
      </c>
      <c r="BC8" s="20"/>
      <c r="BD8" s="20"/>
      <c r="BE8" s="20"/>
      <c r="BF8" s="20"/>
      <c r="BG8" s="20"/>
    </row>
    <row r="9" spans="1:59">
      <c r="A9" s="11">
        <v>2001</v>
      </c>
      <c r="B9" s="26">
        <f>Balance_on_income!B9+'Stock-flow'!D9</f>
        <v>34000.11</v>
      </c>
      <c r="C9" s="26">
        <f>Balance_on_income!C9+'Stock-flow'!O9</f>
        <v>4948.0999999999995</v>
      </c>
      <c r="D9" s="26">
        <f>Balance_on_income!D9+'Stock-flow'!Z9</f>
        <v>-693.2</v>
      </c>
      <c r="E9" s="26">
        <f>Balance_on_income!E9+'Stock-flow'!AK9</f>
        <v>15163.8</v>
      </c>
      <c r="F9" s="26">
        <f>Balance_on_income!F9+'Stock-flow'!AV9</f>
        <v>8223.7999999999993</v>
      </c>
      <c r="G9" s="26">
        <f>Balance_on_income!G9+'Stock-flow'!E9</f>
        <v>-9754.7999999999993</v>
      </c>
      <c r="H9" s="26">
        <f>Balance_on_income!H9+'Stock-flow'!P9</f>
        <v>592.59999999999991</v>
      </c>
      <c r="I9" s="26">
        <f>Balance_on_income!I9+'Stock-flow'!AA9</f>
        <v>-18118.8</v>
      </c>
      <c r="J9" s="26">
        <f>Balance_on_income!J9+'Stock-flow'!AL9</f>
        <v>-1740</v>
      </c>
      <c r="K9" s="26">
        <f>Balance_on_income!K9+'Stock-flow'!AW9</f>
        <v>9511.4</v>
      </c>
      <c r="M9" s="53">
        <f>B9/(NFA_in_yen!C8+NFA_in_yen!D8+NFA_in_yen!E8+NFA_in_yen!G8+NFA_in_yen!H8)*100</f>
        <v>9.9758263038216093</v>
      </c>
      <c r="N9" s="8">
        <f>C9/NFA_in_yen!C8*100</f>
        <v>15.466195730316004</v>
      </c>
      <c r="O9" s="8">
        <f>D9/NFA_in_yen!D8*100</f>
        <v>-2.3004679255301497</v>
      </c>
      <c r="P9" s="8">
        <f>E9/NFA_in_yen!E8*100</f>
        <v>12.638395759363904</v>
      </c>
      <c r="Q9" s="8">
        <f>F9/NFA_in_yen!G8*100</f>
        <v>7.0145600013647336</v>
      </c>
      <c r="R9" s="8">
        <f>G9/(NFA_in_yen!J8+NFA_in_yen!K8+NFA_in_yen!L8+NFA_in_yen!N8)*100</f>
        <v>-4.6944796022965161</v>
      </c>
      <c r="S9" s="8">
        <f>H9/NFA_in_yen!J8*100</f>
        <v>10.249048772051191</v>
      </c>
      <c r="T9" s="8">
        <f>I9/NFA_in_yen!K8*100</f>
        <v>-28.659011103729714</v>
      </c>
      <c r="U9" s="8">
        <f>J9/NFA_in_yen!L8*100</f>
        <v>-4.5327845364316044</v>
      </c>
      <c r="V9" s="8">
        <f>K9/NFA_in_yen!N8*100</f>
        <v>9.4733172645963215</v>
      </c>
      <c r="W9" s="8"/>
      <c r="X9" s="8">
        <f>yield!M9</f>
        <v>-0.80337580134707898</v>
      </c>
      <c r="Y9" s="8"/>
      <c r="Z9" s="53">
        <f t="shared" si="2"/>
        <v>10.866500944207601</v>
      </c>
      <c r="AA9" s="8">
        <f t="shared" si="3"/>
        <v>16.401335895343937</v>
      </c>
      <c r="AB9" s="8">
        <f t="shared" si="4"/>
        <v>-1.5092168067987521</v>
      </c>
      <c r="AC9" s="8">
        <f t="shared" si="5"/>
        <v>13.550634075805078</v>
      </c>
      <c r="AD9" s="8">
        <f t="shared" si="6"/>
        <v>7.8812518731035341</v>
      </c>
      <c r="AE9" s="8">
        <f t="shared" si="7"/>
        <v>-3.9226171579761049</v>
      </c>
      <c r="AF9" s="8">
        <f t="shared" si="8"/>
        <v>11.141936192570935</v>
      </c>
      <c r="AG9" s="8">
        <f t="shared" si="9"/>
        <v>-28.081233134101868</v>
      </c>
      <c r="AH9" s="8">
        <f t="shared" si="10"/>
        <v>-3.7596125525561574</v>
      </c>
      <c r="AI9" s="8">
        <f t="shared" si="11"/>
        <v>10.359922173725522</v>
      </c>
      <c r="AJ9" s="8"/>
      <c r="AK9" s="53">
        <f t="shared" si="12"/>
        <v>14.789118102183707</v>
      </c>
      <c r="AL9" s="8">
        <f t="shared" si="1"/>
        <v>5.2593997027730026</v>
      </c>
      <c r="AM9" s="8">
        <f t="shared" si="1"/>
        <v>26.572016327303118</v>
      </c>
      <c r="AN9" s="8">
        <f t="shared" si="1"/>
        <v>17.310246628361234</v>
      </c>
      <c r="AO9" s="8">
        <f t="shared" si="1"/>
        <v>-2.4786703006219879</v>
      </c>
      <c r="BC9" s="20"/>
      <c r="BD9" s="20"/>
      <c r="BE9" s="20"/>
      <c r="BF9" s="20"/>
      <c r="BG9" s="20"/>
    </row>
    <row r="10" spans="1:59">
      <c r="A10" s="11">
        <v>2002</v>
      </c>
      <c r="B10" s="26">
        <f>Balance_on_income!B10+'Stock-flow'!D10</f>
        <v>-17563.318295639699</v>
      </c>
      <c r="C10" s="26">
        <f>Balance_on_income!C10+'Stock-flow'!O10</f>
        <v>-5017.6000000000004</v>
      </c>
      <c r="D10" s="26">
        <f>Balance_on_income!D10+'Stock-flow'!Z10</f>
        <v>-8254.9</v>
      </c>
      <c r="E10" s="26">
        <f>Balance_on_income!E10+'Stock-flow'!AK10</f>
        <v>2881.5</v>
      </c>
      <c r="F10" s="26">
        <f>Balance_on_income!F10+'Stock-flow'!AV10</f>
        <v>-4666.4000000000005</v>
      </c>
      <c r="G10" s="26">
        <f>Balance_on_income!G10+'Stock-flow'!E10</f>
        <v>-7745.9</v>
      </c>
      <c r="H10" s="26">
        <f>Balance_on_income!H10+'Stock-flow'!P10</f>
        <v>2241.4</v>
      </c>
      <c r="I10" s="26">
        <f>Balance_on_income!I10+'Stock-flow'!AA10</f>
        <v>-6432.6</v>
      </c>
      <c r="J10" s="26">
        <f>Balance_on_income!J10+'Stock-flow'!AL10</f>
        <v>-3913.4</v>
      </c>
      <c r="K10" s="26">
        <f>Balance_on_income!K10+'Stock-flow'!AW10</f>
        <v>358.69999999999982</v>
      </c>
      <c r="M10" s="53">
        <f>B10/(NFA_in_yen!C9+NFA_in_yen!D9+NFA_in_yen!E9+NFA_in_yen!G9+NFA_in_yen!H9)*100</f>
        <v>-4.6294060127784631</v>
      </c>
      <c r="N10" s="8">
        <f>C10/NFA_in_yen!C9*100</f>
        <v>-12.68512198205031</v>
      </c>
      <c r="O10" s="8">
        <f>D10/NFA_in_yen!D9*100</f>
        <v>-27.548473218755216</v>
      </c>
      <c r="P10" s="8">
        <f>E10/NFA_in_yen!E9*100</f>
        <v>2.0578468130690948</v>
      </c>
      <c r="Q10" s="8">
        <f>F10/NFA_in_yen!G9*100</f>
        <v>-3.9860253354859108</v>
      </c>
      <c r="R10" s="8">
        <f>G10/(NFA_in_yen!J9+NFA_in_yen!K9+NFA_in_yen!L9+NFA_in_yen!N9)*100</f>
        <v>-3.8718465237407336</v>
      </c>
      <c r="S10" s="8">
        <f>H10/NFA_in_yen!J9*100</f>
        <v>33.796743063932446</v>
      </c>
      <c r="T10" s="8">
        <f>I10/NFA_in_yen!K9*100</f>
        <v>-12.978633254645603</v>
      </c>
      <c r="U10" s="8">
        <f>J10/NFA_in_yen!L9*100</f>
        <v>-10.247453455183431</v>
      </c>
      <c r="V10" s="8">
        <f>K10/NFA_in_yen!N9*100</f>
        <v>0.33944337721082946</v>
      </c>
      <c r="W10" s="8"/>
      <c r="X10" s="8">
        <f>yield!M10</f>
        <v>-0.89967826042920995</v>
      </c>
      <c r="Y10" s="8"/>
      <c r="Z10" s="53">
        <f t="shared" si="2"/>
        <v>-3.7635879348108747</v>
      </c>
      <c r="AA10" s="8">
        <f t="shared" si="3"/>
        <v>-11.892437395503597</v>
      </c>
      <c r="AB10" s="8">
        <f t="shared" si="4"/>
        <v>-26.890724964907086</v>
      </c>
      <c r="AC10" s="8">
        <f t="shared" si="5"/>
        <v>2.9843748451901853</v>
      </c>
      <c r="AD10" s="8">
        <f t="shared" si="6"/>
        <v>-3.1143663520764475</v>
      </c>
      <c r="AE10" s="8">
        <f t="shared" si="7"/>
        <v>-2.9991509726095322</v>
      </c>
      <c r="AF10" s="8">
        <f t="shared" si="8"/>
        <v>35.011411381228008</v>
      </c>
      <c r="AG10" s="8">
        <f t="shared" si="9"/>
        <v>-12.188613298309059</v>
      </c>
      <c r="AH10" s="8">
        <f t="shared" si="10"/>
        <v>-9.4326385935653789</v>
      </c>
      <c r="AI10" s="8">
        <f t="shared" si="11"/>
        <v>1.2503709532814433</v>
      </c>
      <c r="AJ10" s="8"/>
      <c r="AK10" s="53">
        <f t="shared" si="12"/>
        <v>-0.7644369622013425</v>
      </c>
      <c r="AL10" s="8">
        <f t="shared" si="1"/>
        <v>-46.903848776731607</v>
      </c>
      <c r="AM10" s="8">
        <f t="shared" si="1"/>
        <v>-14.702111666598027</v>
      </c>
      <c r="AN10" s="8">
        <f t="shared" si="1"/>
        <v>12.417013438755564</v>
      </c>
      <c r="AO10" s="8">
        <f t="shared" si="1"/>
        <v>-4.3647373053578908</v>
      </c>
      <c r="BC10" s="20"/>
      <c r="BD10" s="20"/>
      <c r="BE10" s="20"/>
      <c r="BF10" s="20"/>
      <c r="BG10" s="20"/>
    </row>
    <row r="11" spans="1:59">
      <c r="A11" s="11">
        <v>2003</v>
      </c>
      <c r="B11" s="26">
        <f>Balance_on_income!B11+'Stock-flow'!D11</f>
        <v>2742.2200000000048</v>
      </c>
      <c r="C11" s="26">
        <f>Balance_on_income!C11+'Stock-flow'!O11</f>
        <v>-2356.9</v>
      </c>
      <c r="D11" s="26">
        <f>Balance_on_income!D11+'Stock-flow'!Z11</f>
        <v>4812.8</v>
      </c>
      <c r="E11" s="26">
        <f>Balance_on_income!E11+'Stock-flow'!AK11</f>
        <v>-221.39999999999873</v>
      </c>
      <c r="F11" s="26">
        <f>Balance_on_income!F11+'Stock-flow'!AV11</f>
        <v>6016.5000000000018</v>
      </c>
      <c r="G11" s="26">
        <f>Balance_on_income!G11+'Stock-flow'!E11</f>
        <v>10712.5</v>
      </c>
      <c r="H11" s="26">
        <f>Balance_on_income!H11+'Stock-flow'!P11</f>
        <v>92.699999999999932</v>
      </c>
      <c r="I11" s="26">
        <f>Balance_on_income!I11+'Stock-flow'!AA11</f>
        <v>9719.2000000000007</v>
      </c>
      <c r="J11" s="26">
        <f>Balance_on_income!J11+'Stock-flow'!AL11</f>
        <v>2059.1</v>
      </c>
      <c r="K11" s="26">
        <f>Balance_on_income!K11+'Stock-flow'!AW11</f>
        <v>-1158.5</v>
      </c>
      <c r="M11" s="53">
        <f>B11/(NFA_in_yen!C10+NFA_in_yen!D10+NFA_in_yen!E10+NFA_in_yen!G10+NFA_in_yen!H10)*100</f>
        <v>0.75019149960605924</v>
      </c>
      <c r="N11" s="8">
        <f>C11/NFA_in_yen!C10*100</f>
        <v>-6.4611546685673567</v>
      </c>
      <c r="O11" s="8">
        <f>D11/NFA_in_yen!D10*100</f>
        <v>19.040234205008506</v>
      </c>
      <c r="P11" s="8">
        <f>E11/NFA_in_yen!E10*100</f>
        <v>-0.15599678705804343</v>
      </c>
      <c r="Q11" s="8">
        <f>F11/NFA_in_yen!G10*100</f>
        <v>5.6871029945553557</v>
      </c>
      <c r="R11" s="8">
        <f>G11/(NFA_in_yen!J10+NFA_in_yen!K10+NFA_in_yen!L10+NFA_in_yen!N10)*100</f>
        <v>5.632643832879392</v>
      </c>
      <c r="S11" s="8">
        <f>H11/NFA_in_yen!J10*100</f>
        <v>0.98943323727185317</v>
      </c>
      <c r="T11" s="8">
        <f>I11/NFA_in_yen!K10*100</f>
        <v>23.846701180165372</v>
      </c>
      <c r="U11" s="8">
        <f>J11/NFA_in_yen!L10*100</f>
        <v>6.3489763196842617</v>
      </c>
      <c r="V11" s="8">
        <f>K11/NFA_in_yen!N10*100</f>
        <v>-1.0763927602482626</v>
      </c>
      <c r="W11" s="8"/>
      <c r="X11" s="8">
        <f>yield!M11</f>
        <v>-0.247839455387176</v>
      </c>
      <c r="Y11" s="8"/>
      <c r="Z11" s="53">
        <f t="shared" si="2"/>
        <v>1.0005106150526855</v>
      </c>
      <c r="AA11" s="8">
        <f t="shared" si="3"/>
        <v>-6.2287525195019349</v>
      </c>
      <c r="AB11" s="8">
        <f t="shared" si="4"/>
        <v>19.335995887296441</v>
      </c>
      <c r="AC11" s="8">
        <f t="shared" si="5"/>
        <v>9.2070856237813636E-2</v>
      </c>
      <c r="AD11" s="8">
        <f t="shared" si="6"/>
        <v>5.9496881245877375</v>
      </c>
      <c r="AE11" s="8">
        <f t="shared" si="7"/>
        <v>5.8950936562788714</v>
      </c>
      <c r="AF11" s="8">
        <f t="shared" si="8"/>
        <v>1.2403467613171903</v>
      </c>
      <c r="AG11" s="8">
        <f t="shared" si="9"/>
        <v>24.154404780813323</v>
      </c>
      <c r="AH11" s="8">
        <f t="shared" si="10"/>
        <v>6.6132059085788786</v>
      </c>
      <c r="AI11" s="8">
        <f t="shared" si="11"/>
        <v>-0.83061188884278048</v>
      </c>
      <c r="AJ11" s="8"/>
      <c r="AK11" s="53">
        <f t="shared" si="12"/>
        <v>-4.8945830412261859</v>
      </c>
      <c r="AL11" s="8">
        <f t="shared" si="1"/>
        <v>-7.4690992808191252</v>
      </c>
      <c r="AM11" s="8">
        <f t="shared" si="1"/>
        <v>-4.8184088935168816</v>
      </c>
      <c r="AN11" s="8">
        <f t="shared" si="1"/>
        <v>-6.5211350523410649</v>
      </c>
      <c r="AO11" s="8">
        <f t="shared" si="1"/>
        <v>6.7803000134305176</v>
      </c>
      <c r="BC11" s="20"/>
      <c r="BD11" s="20"/>
      <c r="BE11" s="20"/>
      <c r="BF11" s="20"/>
      <c r="BG11" s="20"/>
    </row>
    <row r="12" spans="1:59">
      <c r="A12" s="11">
        <v>2004</v>
      </c>
      <c r="B12" s="26">
        <f>Balance_on_income!B12+'Stock-flow'!D12</f>
        <v>15732.04</v>
      </c>
      <c r="C12" s="26">
        <f>Balance_on_income!C12+'Stock-flow'!O12</f>
        <v>1355</v>
      </c>
      <c r="D12" s="26">
        <f>Balance_on_income!D12+'Stock-flow'!Z12</f>
        <v>6639.6</v>
      </c>
      <c r="E12" s="26">
        <f>Balance_on_income!E12+'Stock-flow'!AK12</f>
        <v>8140.4999999999991</v>
      </c>
      <c r="F12" s="26">
        <f>Balance_on_income!F12+'Stock-flow'!AV12</f>
        <v>1227.4000000000001</v>
      </c>
      <c r="G12" s="26">
        <f>Balance_on_income!G12+'Stock-flow'!E12</f>
        <v>8422.5999999999985</v>
      </c>
      <c r="H12" s="26">
        <f>Balance_on_income!H12+'Stock-flow'!P12</f>
        <v>329.5</v>
      </c>
      <c r="I12" s="26">
        <f>Balance_on_income!I12+'Stock-flow'!AA12</f>
        <v>7411.9</v>
      </c>
      <c r="J12" s="26">
        <f>Balance_on_income!J12+'Stock-flow'!AL12</f>
        <v>-77.69999999999925</v>
      </c>
      <c r="K12" s="26">
        <f>Balance_on_income!K12+'Stock-flow'!AW12</f>
        <v>758.89999999999964</v>
      </c>
      <c r="M12" s="53">
        <f>B12/(NFA_in_yen!C11+NFA_in_yen!D11+NFA_in_yen!E11+NFA_in_yen!G11+NFA_in_yen!H11)*100</f>
        <v>4.0861061834275727</v>
      </c>
      <c r="N12" s="8">
        <f>C12/NFA_in_yen!C11*100</f>
        <v>3.7710119113881779</v>
      </c>
      <c r="O12" s="8">
        <f>D12/NFA_in_yen!D11*100</f>
        <v>22.588283323127172</v>
      </c>
      <c r="P12" s="8">
        <f>E12/NFA_in_yen!E11*100</f>
        <v>5.2533250730838477</v>
      </c>
      <c r="Q12" s="8">
        <f>F12/NFA_in_yen!G11*100</f>
        <v>1.3248421393491285</v>
      </c>
      <c r="R12" s="8">
        <f>G12/(NFA_in_yen!J11+NFA_in_yen!K11+NFA_in_yen!L11+NFA_in_yen!N11)*100</f>
        <v>3.9730557141037668</v>
      </c>
      <c r="S12" s="8">
        <f>H12/NFA_in_yen!J11*100</f>
        <v>3.4287200832466183</v>
      </c>
      <c r="T12" s="8">
        <f>I12/NFA_in_yen!K11*100</f>
        <v>12.335691104268951</v>
      </c>
      <c r="U12" s="8">
        <f>J12/NFA_in_yen!L11*100</f>
        <v>-0.23697694278394305</v>
      </c>
      <c r="V12" s="8">
        <f>K12/NFA_in_yen!N11*100</f>
        <v>0.69299607341795233</v>
      </c>
      <c r="W12" s="8"/>
      <c r="X12" s="8">
        <f>yield!M12</f>
        <v>-8.2754054945362292E-3</v>
      </c>
      <c r="Y12" s="8"/>
      <c r="Z12" s="53">
        <f t="shared" si="2"/>
        <v>4.0947204436426965</v>
      </c>
      <c r="AA12" s="8">
        <f t="shared" si="3"/>
        <v>3.7796000941165753</v>
      </c>
      <c r="AB12" s="8">
        <f t="shared" si="4"/>
        <v>22.598428840243635</v>
      </c>
      <c r="AC12" s="8">
        <f t="shared" si="5"/>
        <v>5.262035933389142</v>
      </c>
      <c r="AD12" s="8">
        <f t="shared" si="6"/>
        <v>1.3332278748564796</v>
      </c>
      <c r="AE12" s="8">
        <f t="shared" si="7"/>
        <v>3.9816606181598768</v>
      </c>
      <c r="AF12" s="8">
        <f t="shared" si="8"/>
        <v>3.4372799375939733</v>
      </c>
      <c r="AG12" s="8">
        <f t="shared" si="9"/>
        <v>12.344988107587639</v>
      </c>
      <c r="AH12" s="8">
        <f t="shared" si="10"/>
        <v>-0.22872046483531916</v>
      </c>
      <c r="AI12" s="8">
        <f t="shared" si="11"/>
        <v>0.70132951677386313</v>
      </c>
      <c r="AJ12" s="8"/>
      <c r="AK12" s="53">
        <f t="shared" si="12"/>
        <v>0.11305982548281968</v>
      </c>
      <c r="AL12" s="8">
        <f t="shared" si="1"/>
        <v>0.34232015652260195</v>
      </c>
      <c r="AM12" s="8">
        <f t="shared" si="1"/>
        <v>10.253440732655996</v>
      </c>
      <c r="AN12" s="8">
        <f t="shared" si="1"/>
        <v>5.4907563982244607</v>
      </c>
      <c r="AO12" s="8">
        <f t="shared" si="1"/>
        <v>0.63189835808261652</v>
      </c>
      <c r="BC12" s="20"/>
      <c r="BD12" s="20"/>
      <c r="BE12" s="20"/>
      <c r="BF12" s="20"/>
      <c r="BG12" s="20"/>
    </row>
    <row r="13" spans="1:59">
      <c r="A13" s="11">
        <v>2005</v>
      </c>
      <c r="B13" s="26">
        <f>Balance_on_income!B13+'Stock-flow'!D13</f>
        <v>43921.649999999994</v>
      </c>
      <c r="C13" s="26">
        <f>Balance_on_income!C13+'Stock-flow'!O13</f>
        <v>5328.5</v>
      </c>
      <c r="D13" s="26">
        <f>Balance_on_income!D13+'Stock-flow'!Z13</f>
        <v>9742.9</v>
      </c>
      <c r="E13" s="26">
        <f>Balance_on_income!E13+'Stock-flow'!AK13</f>
        <v>19376.199999999997</v>
      </c>
      <c r="F13" s="26">
        <f>Balance_on_income!F13+'Stock-flow'!AV13</f>
        <v>206.30000000000041</v>
      </c>
      <c r="G13" s="26">
        <f>Balance_on_income!G13+'Stock-flow'!E13</f>
        <v>52403.5</v>
      </c>
      <c r="H13" s="26">
        <f>Balance_on_income!H13+'Stock-flow'!P13</f>
        <v>2543.1999999999998</v>
      </c>
      <c r="I13" s="26">
        <f>Balance_on_income!I13+'Stock-flow'!AA13</f>
        <v>41649.600000000006</v>
      </c>
      <c r="J13" s="26">
        <f>Balance_on_income!J13+'Stock-flow'!AL13</f>
        <v>1511.8</v>
      </c>
      <c r="K13" s="26">
        <f>Balance_on_income!K13+'Stock-flow'!AW13</f>
        <v>6698.9</v>
      </c>
      <c r="M13" s="53">
        <f>B13/(NFA_in_yen!C12+NFA_in_yen!D12+NFA_in_yen!E12+NFA_in_yen!G12+NFA_in_yen!H12)*100</f>
        <v>10.13734057138109</v>
      </c>
      <c r="N13" s="8">
        <f>C13/NFA_in_yen!C12*100</f>
        <v>13.811202405329048</v>
      </c>
      <c r="O13" s="8">
        <f>D13/NFA_in_yen!D12*100</f>
        <v>25.65811650689982</v>
      </c>
      <c r="P13" s="8">
        <f>E13/NFA_in_yen!E12*100</f>
        <v>11.312917822215732</v>
      </c>
      <c r="Q13" s="8">
        <f>F13/NFA_in_yen!G12*100</f>
        <v>0.21111770605210955</v>
      </c>
      <c r="R13" s="8">
        <f>G13/(NFA_in_yen!J12+NFA_in_yen!K12+NFA_in_yen!L12+NFA_in_yen!N12)*100</f>
        <v>21.220631231119356</v>
      </c>
      <c r="S13" s="8">
        <f>H13/NFA_in_yen!J12*100</f>
        <v>25.185185185185183</v>
      </c>
      <c r="T13" s="8">
        <f>I13/NFA_in_yen!K12*100</f>
        <v>53.815719767937672</v>
      </c>
      <c r="U13" s="8">
        <f>J13/NFA_in_yen!L12*100</f>
        <v>3.5405981404716735</v>
      </c>
      <c r="V13" s="8">
        <f>K13/NFA_in_yen!N12*100</f>
        <v>5.7375209839323027</v>
      </c>
      <c r="W13" s="8"/>
      <c r="X13" s="8">
        <f>yield!M13</f>
        <v>-0.27311098237193399</v>
      </c>
      <c r="Y13" s="8"/>
      <c r="Z13" s="53">
        <f t="shared" si="2"/>
        <v>10.438961504066224</v>
      </c>
      <c r="AA13" s="8">
        <f t="shared" si="3"/>
        <v>14.122884536397606</v>
      </c>
      <c r="AB13" s="8">
        <f t="shared" si="4"/>
        <v>26.00224246911791</v>
      </c>
      <c r="AC13" s="8">
        <f t="shared" si="5"/>
        <v>11.61775817807742</v>
      </c>
      <c r="AD13" s="8">
        <f t="shared" si="6"/>
        <v>0.48555479188612249</v>
      </c>
      <c r="AE13" s="8">
        <f t="shared" si="7"/>
        <v>21.552604744034465</v>
      </c>
      <c r="AF13" s="8">
        <f t="shared" si="8"/>
        <v>25.528015982787778</v>
      </c>
      <c r="AG13" s="8">
        <f t="shared" si="9"/>
        <v>54.236957838671486</v>
      </c>
      <c r="AH13" s="8">
        <f t="shared" si="10"/>
        <v>3.8241533055036747</v>
      </c>
      <c r="AI13" s="8">
        <f t="shared" si="11"/>
        <v>6.0270926181621665</v>
      </c>
      <c r="AJ13" s="8"/>
      <c r="AK13" s="53">
        <f t="shared" si="12"/>
        <v>-11.113643239968241</v>
      </c>
      <c r="AL13" s="8">
        <f t="shared" si="1"/>
        <v>-11.405131446390172</v>
      </c>
      <c r="AM13" s="8">
        <f t="shared" si="1"/>
        <v>-28.234715369553577</v>
      </c>
      <c r="AN13" s="8">
        <f t="shared" si="1"/>
        <v>7.793604872573745</v>
      </c>
      <c r="AO13" s="8">
        <f t="shared" si="1"/>
        <v>-5.541537826276044</v>
      </c>
      <c r="BC13" s="20"/>
      <c r="BD13" s="20"/>
      <c r="BE13" s="20"/>
      <c r="BF13" s="20"/>
      <c r="BG13" s="20"/>
    </row>
    <row r="14" spans="1:59">
      <c r="A14" s="11">
        <v>2006</v>
      </c>
      <c r="B14" s="26">
        <f>Balance_on_income!B14+'Stock-flow'!D14</f>
        <v>43723.423500000004</v>
      </c>
      <c r="C14" s="26">
        <f>Balance_on_income!C14+'Stock-flow'!O14</f>
        <v>6108</v>
      </c>
      <c r="D14" s="26">
        <f>Balance_on_income!D14+'Stock-flow'!Z14</f>
        <v>12323.5</v>
      </c>
      <c r="E14" s="26">
        <f>Balance_on_income!E14+'Stock-flow'!AK14</f>
        <v>21676.6</v>
      </c>
      <c r="F14" s="26">
        <f>Balance_on_income!F14+'Stock-flow'!AV14</f>
        <v>343.90000000000009</v>
      </c>
      <c r="G14" s="26">
        <f>Balance_on_income!G14+'Stock-flow'!E14</f>
        <v>11412.7</v>
      </c>
      <c r="H14" s="26">
        <f>Balance_on_income!H14+'Stock-flow'!P14</f>
        <v>2705.5</v>
      </c>
      <c r="I14" s="26">
        <f>Balance_on_income!I14+'Stock-flow'!AA14</f>
        <v>9704</v>
      </c>
      <c r="J14" s="26">
        <f>Balance_on_income!J14+'Stock-flow'!AL14</f>
        <v>-2581.5000000000009</v>
      </c>
      <c r="K14" s="26">
        <f>Balance_on_income!K14+'Stock-flow'!AW14</f>
        <v>1584.7</v>
      </c>
      <c r="M14" s="53">
        <f>B14/(NFA_in_yen!C13+NFA_in_yen!D13+NFA_in_yen!E13+NFA_in_yen!G13+NFA_in_yen!H13)*100</f>
        <v>8.6910263036015643</v>
      </c>
      <c r="N14" s="8">
        <f>C14/NFA_in_yen!C13*100</f>
        <v>13.393268281986625</v>
      </c>
      <c r="O14" s="8">
        <f>D14/NFA_in_yen!D13*100</f>
        <v>25.567427385892117</v>
      </c>
      <c r="P14" s="8">
        <f>E14/NFA_in_yen!E13*100</f>
        <v>10.76862698341729</v>
      </c>
      <c r="Q14" s="8">
        <f>F14/NFA_in_yen!G13*100</f>
        <v>0.31683004127358499</v>
      </c>
      <c r="R14" s="8">
        <f>G14/(NFA_in_yen!J13+NFA_in_yen!K13+NFA_in_yen!L13+NFA_in_yen!N13)*100</f>
        <v>3.5490451564351266</v>
      </c>
      <c r="S14" s="8">
        <f>H14/NFA_in_yen!J13*100</f>
        <v>22.72956397546837</v>
      </c>
      <c r="T14" s="8">
        <f>I14/NFA_in_yen!K13*100</f>
        <v>7.3049186251336176</v>
      </c>
      <c r="U14" s="8">
        <f>J14/NFA_in_yen!L13*100</f>
        <v>-5.2558177413115645</v>
      </c>
      <c r="V14" s="8">
        <f>K14/NFA_in_yen!N13*100</f>
        <v>1.2408679106405969</v>
      </c>
      <c r="W14" s="8"/>
      <c r="X14" s="8">
        <f>yield!M14</f>
        <v>0.24066390041427599</v>
      </c>
      <c r="Y14" s="8"/>
      <c r="Z14" s="53">
        <f t="shared" si="2"/>
        <v>8.4300742576709489</v>
      </c>
      <c r="AA14" s="8">
        <f t="shared" si="3"/>
        <v>13.121026806684966</v>
      </c>
      <c r="AB14" s="8">
        <f t="shared" si="4"/>
        <v>25.265957446809328</v>
      </c>
      <c r="AC14" s="8">
        <f t="shared" si="5"/>
        <v>10.502686907044211</v>
      </c>
      <c r="AD14" s="8">
        <f t="shared" si="6"/>
        <v>7.5983276542301859E-2</v>
      </c>
      <c r="AE14" s="8">
        <f t="shared" si="7"/>
        <v>3.3004382924953557</v>
      </c>
      <c r="AF14" s="8">
        <f t="shared" si="8"/>
        <v>22.434907351966515</v>
      </c>
      <c r="AG14" s="8">
        <f t="shared" si="9"/>
        <v>7.0472944310678631</v>
      </c>
      <c r="AH14" s="8">
        <f t="shared" si="10"/>
        <v>-5.4832853533236969</v>
      </c>
      <c r="AI14" s="8">
        <f t="shared" si="11"/>
        <v>0.99780265942770452</v>
      </c>
      <c r="AJ14" s="8"/>
      <c r="AK14" s="53">
        <f t="shared" si="12"/>
        <v>5.1296359651755932</v>
      </c>
      <c r="AL14" s="8">
        <f t="shared" si="1"/>
        <v>-9.313880545281549</v>
      </c>
      <c r="AM14" s="8">
        <f t="shared" si="1"/>
        <v>18.218663015741463</v>
      </c>
      <c r="AN14" s="8">
        <f t="shared" si="1"/>
        <v>15.985972260367909</v>
      </c>
      <c r="AO14" s="8">
        <f t="shared" si="1"/>
        <v>-0.92181938288540266</v>
      </c>
      <c r="BC14" s="20"/>
      <c r="BD14" s="20"/>
      <c r="BE14" s="20"/>
      <c r="BF14" s="20"/>
      <c r="BG14" s="20"/>
    </row>
    <row r="15" spans="1:59">
      <c r="A15" s="11">
        <v>2007</v>
      </c>
      <c r="B15" s="26">
        <f>Balance_on_income!B15+'Stock-flow'!D15</f>
        <v>16107.789399999994</v>
      </c>
      <c r="C15" s="26">
        <f>Balance_on_income!C15+'Stock-flow'!O15</f>
        <v>5030.5999999999995</v>
      </c>
      <c r="D15" s="26">
        <f>Balance_on_income!D15+'Stock-flow'!Z15</f>
        <v>4937.7</v>
      </c>
      <c r="E15" s="26">
        <f>Balance_on_income!E15+'Stock-flow'!AK15</f>
        <v>4765</v>
      </c>
      <c r="F15" s="26">
        <f>Balance_on_income!F15+'Stock-flow'!AV15</f>
        <v>1827.8999999999992</v>
      </c>
      <c r="G15" s="26">
        <f>Balance_on_income!G15+'Stock-flow'!E15</f>
        <v>-8494.9000000000015</v>
      </c>
      <c r="H15" s="26">
        <f>Balance_on_income!H15+'Stock-flow'!P15</f>
        <v>1430.3999999999999</v>
      </c>
      <c r="I15" s="26">
        <f>Balance_on_income!I15+'Stock-flow'!AA15</f>
        <v>-10606.9</v>
      </c>
      <c r="J15" s="26">
        <f>Balance_on_income!J15+'Stock-flow'!AL15</f>
        <v>2667.5000000000009</v>
      </c>
      <c r="K15" s="26">
        <f>Balance_on_income!K15+'Stock-flow'!AW15</f>
        <v>-1985.9000000000005</v>
      </c>
      <c r="M15" s="53">
        <f>B15/(NFA_in_yen!C14+NFA_in_yen!D14+NFA_in_yen!E14+NFA_in_yen!G14+NFA_in_yen!H14)*100</f>
        <v>2.9003917056499668</v>
      </c>
      <c r="N15" s="8">
        <f>C15/NFA_in_yen!C14*100</f>
        <v>9.4072107113471457</v>
      </c>
      <c r="O15" s="8">
        <f>D15/NFA_in_yen!D14*100</f>
        <v>8.1327206245676447</v>
      </c>
      <c r="P15" s="8">
        <f>E15/NFA_in_yen!E14*100</f>
        <v>2.1853487614828269</v>
      </c>
      <c r="Q15" s="8">
        <f>F15/NFA_in_yen!G14*100</f>
        <v>1.5663507515124502</v>
      </c>
      <c r="R15" s="8">
        <f>G15/(NFA_in_yen!J14+NFA_in_yen!K14+NFA_in_yen!L14+NFA_in_yen!N14)*100</f>
        <v>-2.502644084174678</v>
      </c>
      <c r="S15" s="8">
        <f>H15/NFA_in_yen!J14*100</f>
        <v>11.172381473092242</v>
      </c>
      <c r="T15" s="8">
        <f>I15/NFA_in_yen!K14*100</f>
        <v>-7.1055152501724974</v>
      </c>
      <c r="U15" s="8">
        <f>J15/NFA_in_yen!L14*100</f>
        <v>4.4150019033747681</v>
      </c>
      <c r="V15" s="8">
        <f>K15/NFA_in_yen!N14*100</f>
        <v>-1.6982503548889158</v>
      </c>
      <c r="W15" s="8"/>
      <c r="X15" s="8">
        <f>yield!M15</f>
        <v>5.7951817204070298E-2</v>
      </c>
      <c r="Y15" s="8"/>
      <c r="Z15" s="53">
        <f t="shared" si="2"/>
        <v>2.8407935969334552</v>
      </c>
      <c r="AA15" s="8">
        <f t="shared" si="3"/>
        <v>9.3438439667676185</v>
      </c>
      <c r="AB15" s="8">
        <f t="shared" si="4"/>
        <v>8.0700920423749878</v>
      </c>
      <c r="AC15" s="8">
        <f t="shared" si="5"/>
        <v>2.1261647931443584</v>
      </c>
      <c r="AD15" s="8">
        <f t="shared" si="6"/>
        <v>1.5075252960045304</v>
      </c>
      <c r="AE15" s="8">
        <f t="shared" si="7"/>
        <v>-2.559112848978462</v>
      </c>
      <c r="AF15" s="8">
        <f t="shared" si="8"/>
        <v>11.107992372453456</v>
      </c>
      <c r="AG15" s="8">
        <f t="shared" si="9"/>
        <v>-7.1593181124310012</v>
      </c>
      <c r="AH15" s="8">
        <f t="shared" si="10"/>
        <v>4.3545265588991633</v>
      </c>
      <c r="AI15" s="8">
        <f t="shared" si="11"/>
        <v>-1.7551850104841171</v>
      </c>
      <c r="AJ15" s="8"/>
      <c r="AK15" s="53">
        <f t="shared" si="12"/>
        <v>5.3999064459119168</v>
      </c>
      <c r="AL15" s="8">
        <f t="shared" si="1"/>
        <v>-1.7641484056858374</v>
      </c>
      <c r="AM15" s="8">
        <f t="shared" si="1"/>
        <v>15.22941015480599</v>
      </c>
      <c r="AN15" s="8">
        <f t="shared" si="1"/>
        <v>-2.2283617657548049</v>
      </c>
      <c r="AO15" s="8">
        <f t="shared" si="1"/>
        <v>3.2627103064886476</v>
      </c>
      <c r="BC15" s="20"/>
      <c r="BD15" s="20"/>
      <c r="BE15" s="20"/>
      <c r="BF15" s="20"/>
      <c r="BG15" s="20"/>
    </row>
    <row r="16" spans="1:59">
      <c r="A16" s="11">
        <v>2008</v>
      </c>
      <c r="B16" s="26">
        <f>Balance_on_income!B16+'Stock-flow'!D16</f>
        <v>-95010.292600000001</v>
      </c>
      <c r="C16" s="26">
        <f>Balance_on_income!C16+'Stock-flow'!O16</f>
        <v>-8316</v>
      </c>
      <c r="D16" s="26">
        <f>Balance_on_income!D16+'Stock-flow'!Z16</f>
        <v>-32785.799999999996</v>
      </c>
      <c r="E16" s="26">
        <f>Balance_on_income!E16+'Stock-flow'!AK16</f>
        <v>-44034.2</v>
      </c>
      <c r="F16" s="26">
        <f>Balance_on_income!F16+'Stock-flow'!AV16</f>
        <v>10621.8</v>
      </c>
      <c r="G16" s="26">
        <f>Balance_on_income!G16+'Stock-flow'!E16</f>
        <v>-63551.600000000006</v>
      </c>
      <c r="H16" s="26">
        <f>Balance_on_income!H16+'Stock-flow'!P16</f>
        <v>2008.8000000000002</v>
      </c>
      <c r="I16" s="26">
        <f>Balance_on_income!I16+'Stock-flow'!AA16</f>
        <v>-63928.200000000004</v>
      </c>
      <c r="J16" s="26">
        <f>Balance_on_income!J16+'Stock-flow'!AL16</f>
        <v>-5008</v>
      </c>
      <c r="K16" s="26">
        <f>Balance_on_income!K16+'Stock-flow'!AW16</f>
        <v>3375.8</v>
      </c>
      <c r="M16" s="53">
        <f>B16/(NFA_in_yen!C15+NFA_in_yen!D15+NFA_in_yen!E15+NFA_in_yen!G15+NFA_in_yen!H15)*100</f>
        <v>-15.676946758606125</v>
      </c>
      <c r="N16" s="8">
        <f>C16/NFA_in_yen!C15*100</f>
        <v>-13.443693620873615</v>
      </c>
      <c r="O16" s="8">
        <f>D16/NFA_in_yen!D15*100</f>
        <v>-50.149596182085162</v>
      </c>
      <c r="P16" s="8">
        <f>E16/NFA_in_yen!E15*100</f>
        <v>-19.807476912973264</v>
      </c>
      <c r="Q16" s="8">
        <f>F16/NFA_in_yen!G15*100</f>
        <v>7.2639115895149322</v>
      </c>
      <c r="R16" s="8">
        <f>G16/(NFA_in_yen!J15+NFA_in_yen!K15+NFA_in_yen!L15+NFA_in_yen!N15)*100</f>
        <v>-17.88644154616021</v>
      </c>
      <c r="S16" s="8">
        <f>H16/NFA_in_yen!J15*100</f>
        <v>13.263783426873557</v>
      </c>
      <c r="T16" s="8">
        <f>I16/NFA_in_yen!K15*100</f>
        <v>-45.010033020960215</v>
      </c>
      <c r="U16" s="8">
        <f>J16/NFA_in_yen!L15*100</f>
        <v>-6.3028594442207018</v>
      </c>
      <c r="V16" s="8">
        <f>K16/NFA_in_yen!N15*100</f>
        <v>2.8445994910426884</v>
      </c>
      <c r="W16" s="8"/>
      <c r="X16" s="8">
        <f>yield!M16</f>
        <v>1.3734899884159999</v>
      </c>
      <c r="Y16" s="8"/>
      <c r="Z16" s="53">
        <f t="shared" si="2"/>
        <v>-16.819423647119656</v>
      </c>
      <c r="AA16" s="8">
        <f t="shared" si="3"/>
        <v>-14.616428428164774</v>
      </c>
      <c r="AB16" s="8">
        <f t="shared" si="4"/>
        <v>-50.825009749973816</v>
      </c>
      <c r="AC16" s="8">
        <f t="shared" si="5"/>
        <v>-20.893990040009104</v>
      </c>
      <c r="AD16" s="8">
        <f t="shared" si="6"/>
        <v>5.8106134076789218</v>
      </c>
      <c r="AE16" s="8">
        <f t="shared" si="7"/>
        <v>-18.998982413229591</v>
      </c>
      <c r="AF16" s="8">
        <f t="shared" si="8"/>
        <v>11.729194131341703</v>
      </c>
      <c r="AG16" s="8">
        <f t="shared" si="9"/>
        <v>-45.755081545161843</v>
      </c>
      <c r="AH16" s="8">
        <f t="shared" si="10"/>
        <v>-7.5723440452862718</v>
      </c>
      <c r="AI16" s="8">
        <f t="shared" si="11"/>
        <v>1.4511777219022415</v>
      </c>
      <c r="AJ16" s="8"/>
      <c r="AK16" s="53">
        <f t="shared" si="12"/>
        <v>2.1795587661099347</v>
      </c>
      <c r="AL16" s="8">
        <f t="shared" si="1"/>
        <v>-26.345622559506477</v>
      </c>
      <c r="AM16" s="8">
        <f t="shared" si="1"/>
        <v>-5.0699282048119727</v>
      </c>
      <c r="AN16" s="8">
        <f t="shared" si="1"/>
        <v>-13.321645994722832</v>
      </c>
      <c r="AO16" s="8">
        <f t="shared" si="1"/>
        <v>4.3594356857766803</v>
      </c>
      <c r="BC16" s="20"/>
      <c r="BD16" s="20"/>
      <c r="BE16" s="20"/>
      <c r="BF16" s="20"/>
      <c r="BG16" s="20"/>
    </row>
    <row r="17" spans="1:59">
      <c r="A17" s="11">
        <v>2009</v>
      </c>
      <c r="B17" s="26">
        <f>Balance_on_income!B17+'Stock-flow'!D17</f>
        <v>49484.203200000004</v>
      </c>
      <c r="C17" s="26">
        <f>Balance_on_income!C17+'Stock-flow'!O17</f>
        <v>3767.3999999999996</v>
      </c>
      <c r="D17" s="26">
        <f>Balance_on_income!D17+'Stock-flow'!Z17</f>
        <v>18387</v>
      </c>
      <c r="E17" s="26">
        <f>Balance_on_income!E17+'Stock-flow'!AK17</f>
        <v>23813</v>
      </c>
      <c r="F17" s="26">
        <f>Balance_on_income!F17+'Stock-flow'!AV17</f>
        <v>2249.3000000000006</v>
      </c>
      <c r="G17" s="26">
        <f>Balance_on_income!G17+'Stock-flow'!E17</f>
        <v>11422.5</v>
      </c>
      <c r="H17" s="26">
        <f>Balance_on_income!H17+'Stock-flow'!P17</f>
        <v>-321.39999999999986</v>
      </c>
      <c r="I17" s="26">
        <f>Balance_on_income!I17+'Stock-flow'!AA17</f>
        <v>8069.7000000000007</v>
      </c>
      <c r="J17" s="26">
        <f>Balance_on_income!J17+'Stock-flow'!AL17</f>
        <v>1125.1000000000004</v>
      </c>
      <c r="K17" s="26">
        <f>Balance_on_income!K17+'Stock-flow'!AW17</f>
        <v>2549.1000000000004</v>
      </c>
      <c r="M17" s="53">
        <f>B17/(NFA_in_yen!C16+NFA_in_yen!D16+NFA_in_yen!E16+NFA_in_yen!G16+NFA_in_yen!H16)*100</f>
        <v>9.6619207000978218</v>
      </c>
      <c r="N17" s="8">
        <f>C17/NFA_in_yen!C16*100</f>
        <v>6.1020408163265305</v>
      </c>
      <c r="O17" s="8">
        <f>D17/NFA_in_yen!D16*100</f>
        <v>51.335957785409157</v>
      </c>
      <c r="P17" s="8">
        <f>E17/NFA_in_yen!E16*100</f>
        <v>13.239373974925639</v>
      </c>
      <c r="Q17" s="8">
        <f>F17/NFA_in_yen!G16*100</f>
        <v>1.5867853716349685</v>
      </c>
      <c r="R17" s="8">
        <f>G17/(NFA_in_yen!J16+NFA_in_yen!K16+NFA_in_yen!L16+NFA_in_yen!N16)*100</f>
        <v>4.0007495385434435</v>
      </c>
      <c r="S17" s="8">
        <f>H17/NFA_in_yen!J16*100</f>
        <v>-1.7414390983961847</v>
      </c>
      <c r="T17" s="8">
        <f>I17/NFA_in_yen!K16*100</f>
        <v>11.759125683060111</v>
      </c>
      <c r="U17" s="8">
        <f>J17/NFA_in_yen!L16*100</f>
        <v>1.5783788333660675</v>
      </c>
      <c r="V17" s="8">
        <f>K17/NFA_in_yen!N16*100</f>
        <v>2.0048605540087778</v>
      </c>
      <c r="W17" s="8"/>
      <c r="X17" s="8">
        <f>yield!M17</f>
        <v>-1.3467189030362301</v>
      </c>
      <c r="Y17" s="8"/>
      <c r="Z17" s="53">
        <f t="shared" si="2"/>
        <v>11.158918872970824</v>
      </c>
      <c r="AA17" s="8">
        <f t="shared" si="3"/>
        <v>7.5504429619948965</v>
      </c>
      <c r="AB17" s="8">
        <f t="shared" si="4"/>
        <v>53.401849490099515</v>
      </c>
      <c r="AC17" s="8">
        <f t="shared" si="5"/>
        <v>14.785208069892363</v>
      </c>
      <c r="AD17" s="8">
        <f t="shared" si="6"/>
        <v>2.9735496296245056</v>
      </c>
      <c r="AE17" s="8">
        <f t="shared" si="7"/>
        <v>5.4204668938722556</v>
      </c>
      <c r="AF17" s="8">
        <f t="shared" si="8"/>
        <v>-0.40010853260115109</v>
      </c>
      <c r="AG17" s="8">
        <f t="shared" si="9"/>
        <v>13.28475286413935</v>
      </c>
      <c r="AH17" s="8">
        <f t="shared" si="10"/>
        <v>2.9650283334492267</v>
      </c>
      <c r="AI17" s="8">
        <f t="shared" si="11"/>
        <v>3.3973319688686443</v>
      </c>
      <c r="AJ17" s="8"/>
      <c r="AK17" s="53">
        <f t="shared" si="12"/>
        <v>5.7384519790985689</v>
      </c>
      <c r="AL17" s="8">
        <f t="shared" si="1"/>
        <v>7.9505514945960476</v>
      </c>
      <c r="AM17" s="8">
        <f t="shared" si="1"/>
        <v>40.117096625960166</v>
      </c>
      <c r="AN17" s="8">
        <f t="shared" si="1"/>
        <v>11.820179736443137</v>
      </c>
      <c r="AO17" s="8">
        <f t="shared" si="1"/>
        <v>-0.42378233924413866</v>
      </c>
      <c r="BC17" s="20"/>
      <c r="BD17" s="20"/>
      <c r="BE17" s="20"/>
      <c r="BF17" s="20"/>
      <c r="BG17" s="20"/>
    </row>
    <row r="18" spans="1:59">
      <c r="A18" s="11">
        <v>2010</v>
      </c>
      <c r="B18" s="26">
        <f>Balance_on_income!B18+'Stock-flow'!D18</f>
        <v>-22414.496199999998</v>
      </c>
      <c r="C18" s="26">
        <f>Balance_on_income!C18+'Stock-flow'!O18</f>
        <v>-2100</v>
      </c>
      <c r="D18" s="26">
        <f>Balance_on_income!D18+'Stock-flow'!Z18</f>
        <v>1796.2</v>
      </c>
      <c r="E18" s="26">
        <f>Balance_on_income!E18+'Stock-flow'!AK18</f>
        <v>-6280.4</v>
      </c>
      <c r="F18" s="26">
        <f>Balance_on_income!F18+'Stock-flow'!AV18</f>
        <v>-4590.7999999999993</v>
      </c>
      <c r="G18" s="26">
        <f>Balance_on_income!G18+'Stock-flow'!E18</f>
        <v>-429.09999999999991</v>
      </c>
      <c r="H18" s="26">
        <f>Balance_on_income!H18+'Stock-flow'!P18</f>
        <v>-306.60000000000002</v>
      </c>
      <c r="I18" s="26">
        <f>Balance_on_income!I18+'Stock-flow'!AA18</f>
        <v>2219.4</v>
      </c>
      <c r="J18" s="26">
        <f>Balance_on_income!J18+'Stock-flow'!AL18</f>
        <v>890.70000000000016</v>
      </c>
      <c r="K18" s="26">
        <f>Balance_on_income!K18+'Stock-flow'!AW18</f>
        <v>-3232.6000000000004</v>
      </c>
      <c r="M18" s="53">
        <f>B18/(NFA_in_yen!C17+NFA_in_yen!D17+NFA_in_yen!E17+NFA_in_yen!G17+NFA_in_yen!H17)*100</f>
        <v>-4.0711067883576257</v>
      </c>
      <c r="N18" s="8">
        <f>C18/NFA_in_yen!C17*100</f>
        <v>-3.0787274593168155</v>
      </c>
      <c r="O18" s="8">
        <f>D18/NFA_in_yen!D17*100</f>
        <v>3.2845100298059871</v>
      </c>
      <c r="P18" s="8">
        <f>E18/NFA_in_yen!E17*100</f>
        <v>-3.0295896807556124</v>
      </c>
      <c r="Q18" s="8">
        <f>F18/NFA_in_yen!G17*100</f>
        <v>-3.7142695329250226</v>
      </c>
      <c r="R18" s="8">
        <f>G18/(NFA_in_yen!J17+NFA_in_yen!K17+NFA_in_yen!L17+NFA_in_yen!N17)*100</f>
        <v>-0.15250598864112933</v>
      </c>
      <c r="S18" s="8">
        <f>H18/NFA_in_yen!J17*100</f>
        <v>-1.6640434192672999</v>
      </c>
      <c r="T18" s="8">
        <f>I18/NFA_in_yen!K17*100</f>
        <v>2.9060388624103073</v>
      </c>
      <c r="U18" s="8">
        <f>J18/NFA_in_yen!L17*100</f>
        <v>1.3676985443154599</v>
      </c>
      <c r="V18" s="8">
        <f>K18/NFA_in_yen!N17*100</f>
        <v>-2.6617810531516328</v>
      </c>
      <c r="W18" s="8"/>
      <c r="X18" s="8">
        <f>yield!M18</f>
        <v>-0.71978158351947696</v>
      </c>
      <c r="Y18" s="8"/>
      <c r="Z18" s="53">
        <f t="shared" si="2"/>
        <v>-3.3756223125732232</v>
      </c>
      <c r="AA18" s="8">
        <f t="shared" si="3"/>
        <v>-2.3760482333968658</v>
      </c>
      <c r="AB18" s="8">
        <f t="shared" si="4"/>
        <v>4.0333227275220596</v>
      </c>
      <c r="AC18" s="8">
        <f t="shared" si="5"/>
        <v>-2.3265542059411004</v>
      </c>
      <c r="AD18" s="8">
        <f t="shared" si="6"/>
        <v>-3.0161979870387379</v>
      </c>
      <c r="AE18" s="8">
        <f t="shared" si="7"/>
        <v>0.57138834294121477</v>
      </c>
      <c r="AF18" s="8">
        <f t="shared" si="8"/>
        <v>-0.95110773405699955</v>
      </c>
      <c r="AG18" s="8">
        <f t="shared" si="9"/>
        <v>3.652107644162772</v>
      </c>
      <c r="AH18" s="8">
        <f t="shared" si="10"/>
        <v>2.1026143587617341</v>
      </c>
      <c r="AI18" s="8">
        <f t="shared" si="11"/>
        <v>-1.9560789657869893</v>
      </c>
      <c r="AJ18" s="8"/>
      <c r="AK18" s="53">
        <f t="shared" si="12"/>
        <v>-3.947010655514438</v>
      </c>
      <c r="AL18" s="8">
        <f t="shared" si="1"/>
        <v>-1.4249404993398662</v>
      </c>
      <c r="AM18" s="8">
        <f t="shared" si="1"/>
        <v>0.38121508335928755</v>
      </c>
      <c r="AN18" s="8">
        <f t="shared" si="1"/>
        <v>-4.4291685647028345</v>
      </c>
      <c r="AO18" s="8">
        <f t="shared" si="1"/>
        <v>-1.0601190212517486</v>
      </c>
      <c r="BC18" s="20"/>
      <c r="BD18" s="20"/>
      <c r="BE18" s="20"/>
      <c r="BF18" s="20"/>
      <c r="BG18" s="20"/>
    </row>
    <row r="19" spans="1:59">
      <c r="A19" s="11">
        <v>2011</v>
      </c>
      <c r="B19" s="26">
        <f>Balance_on_income!B19+'Stock-flow'!D19</f>
        <v>1163.0573999999979</v>
      </c>
      <c r="C19" s="26">
        <f>Balance_on_income!C19+'Stock-flow'!O19</f>
        <v>2711.8000000000011</v>
      </c>
      <c r="D19" s="26">
        <f>Balance_on_income!D19+'Stock-flow'!Z19</f>
        <v>-112.39999999999964</v>
      </c>
      <c r="E19" s="26">
        <f>Balance_on_income!E19+'Stock-flow'!AK19</f>
        <v>-2930.6000000000004</v>
      </c>
      <c r="F19" s="26">
        <f>Balance_on_income!F19+'Stock-flow'!AV19</f>
        <v>4097</v>
      </c>
      <c r="G19" s="26">
        <f>Balance_on_income!G19+'Stock-flow'!E19</f>
        <v>-8883.5</v>
      </c>
      <c r="H19" s="26">
        <f>Balance_on_income!H19+'Stock-flow'!P19</f>
        <v>1065.5</v>
      </c>
      <c r="I19" s="26">
        <f>Balance_on_income!I19+'Stock-flow'!AA19</f>
        <v>-13553.3</v>
      </c>
      <c r="J19" s="26">
        <f>Balance_on_income!J19+'Stock-flow'!AL19</f>
        <v>357.29999999999927</v>
      </c>
      <c r="K19" s="26">
        <f>Balance_on_income!K19+'Stock-flow'!AW19</f>
        <v>3247</v>
      </c>
      <c r="M19" s="53">
        <f>B19/(NFA_in_yen!C18+NFA_in_yen!D18+NFA_in_yen!E18+NFA_in_yen!G18+NFA_in_yen!H18)*100</f>
        <v>0.20921045389052842</v>
      </c>
      <c r="N19" s="8">
        <f>C19/NFA_in_yen!C18*100</f>
        <v>4.0061455732667586</v>
      </c>
      <c r="O19" s="8">
        <f>D19/NFA_in_yen!D18*100</f>
        <v>-0.20339473779450551</v>
      </c>
      <c r="P19" s="8">
        <f>E19/NFA_in_yen!E18*100</f>
        <v>-1.3697977040720939</v>
      </c>
      <c r="Q19" s="8">
        <f>F19/NFA_in_yen!G18*100</f>
        <v>3.1588280647648417</v>
      </c>
      <c r="R19" s="8">
        <f>G19/(NFA_in_yen!J18+NFA_in_yen!K18+NFA_in_yen!L18+NFA_in_yen!N18)*100</f>
        <v>-2.9706628856912598</v>
      </c>
      <c r="S19" s="8">
        <f>H19/NFA_in_yen!J18*100</f>
        <v>6.0878756713518456</v>
      </c>
      <c r="T19" s="8">
        <f>I19/NFA_in_yen!K18*100</f>
        <v>-16.828662602282179</v>
      </c>
      <c r="U19" s="8">
        <f>J19/NFA_in_yen!L18*100</f>
        <v>0.49962245154794765</v>
      </c>
      <c r="V19" s="8">
        <f>K19/NFA_in_yen!N18*100</f>
        <v>2.5075682688743361</v>
      </c>
      <c r="W19" s="8"/>
      <c r="X19" s="8">
        <f>yield!M19</f>
        <v>-0.28333333333330502</v>
      </c>
      <c r="Y19" s="8"/>
      <c r="Z19" s="53">
        <f t="shared" si="2"/>
        <v>0.49394329322129948</v>
      </c>
      <c r="AA19" s="8">
        <f t="shared" si="3"/>
        <v>4.3016669629952098</v>
      </c>
      <c r="AB19" s="8">
        <f t="shared" si="4"/>
        <v>8.0165731778847338E-2</v>
      </c>
      <c r="AC19" s="8">
        <f t="shared" si="5"/>
        <v>-1.0895514331326739</v>
      </c>
      <c r="AD19" s="8">
        <f t="shared" si="6"/>
        <v>3.4519419001485696</v>
      </c>
      <c r="AE19" s="8">
        <f t="shared" si="7"/>
        <v>-2.6949652873387464</v>
      </c>
      <c r="AF19" s="8">
        <f t="shared" si="8"/>
        <v>6.3893120555090999</v>
      </c>
      <c r="AG19" s="8">
        <f t="shared" si="9"/>
        <v>-16.592340901503121</v>
      </c>
      <c r="AH19" s="8">
        <f t="shared" si="10"/>
        <v>0.78518046285935839</v>
      </c>
      <c r="AI19" s="8">
        <f t="shared" si="11"/>
        <v>2.798831625145537</v>
      </c>
      <c r="AJ19" s="8"/>
      <c r="AK19" s="53">
        <f t="shared" si="12"/>
        <v>3.1889085805600459</v>
      </c>
      <c r="AL19" s="8">
        <f t="shared" si="1"/>
        <v>-2.0876450925138901</v>
      </c>
      <c r="AM19" s="8">
        <f t="shared" si="1"/>
        <v>16.672506633281969</v>
      </c>
      <c r="AN19" s="8">
        <f t="shared" si="1"/>
        <v>-1.8747318959920323</v>
      </c>
      <c r="AO19" s="8">
        <f t="shared" si="1"/>
        <v>0.65311027500303265</v>
      </c>
      <c r="BC19" s="20"/>
      <c r="BD19" s="20"/>
      <c r="BE19" s="20"/>
      <c r="BF19" s="20"/>
      <c r="BG19" s="20"/>
    </row>
    <row r="20" spans="1:59">
      <c r="A20" s="11">
        <v>2012</v>
      </c>
      <c r="B20" s="26">
        <f>Balance_on_income!B20+'Stock-flow'!D20</f>
        <v>70512.808099999995</v>
      </c>
      <c r="C20" s="26">
        <f>Balance_on_income!C20+'Stock-flow'!O20</f>
        <v>11179.1</v>
      </c>
      <c r="D20" s="26">
        <f>Balance_on_income!D20+'Stock-flow'!Z20</f>
        <v>14126</v>
      </c>
      <c r="E20" s="26">
        <f>Balance_on_income!E20+'Stock-flow'!AK20</f>
        <v>28773.7</v>
      </c>
      <c r="F20" s="26">
        <f>Balance_on_income!F20+'Stock-flow'!AV20</f>
        <v>4435.5</v>
      </c>
      <c r="G20" s="26">
        <f>Balance_on_income!G20+'Stock-flow'!E20</f>
        <v>30564.199999999997</v>
      </c>
      <c r="H20" s="26">
        <f>Balance_on_income!H20+'Stock-flow'!P20</f>
        <v>1341.4</v>
      </c>
      <c r="I20" s="26">
        <f>Balance_on_income!I20+'Stock-flow'!AA20</f>
        <v>16594.5</v>
      </c>
      <c r="J20" s="26">
        <f>Balance_on_income!J20+'Stock-flow'!AL20</f>
        <v>366.59999999999968</v>
      </c>
      <c r="K20" s="26">
        <f>Balance_on_income!K20+'Stock-flow'!AW20</f>
        <v>12261.7</v>
      </c>
      <c r="M20" s="53">
        <f>B20/(NFA_in_yen!C19+NFA_in_yen!D19+NFA_in_yen!E19+NFA_in_yen!G19+NFA_in_yen!H19)*100</f>
        <v>12.2137746526202</v>
      </c>
      <c r="N20" s="8">
        <f>C20/NFA_in_yen!C19*100</f>
        <v>15.048122871488376</v>
      </c>
      <c r="O20" s="8">
        <f>D20/NFA_in_yen!D19*100</f>
        <v>27.296618357487922</v>
      </c>
      <c r="P20" s="8">
        <f>E20/NFA_in_yen!E19*100</f>
        <v>13.664412510566356</v>
      </c>
      <c r="Q20" s="8">
        <f>F20/NFA_in_yen!G19*100</f>
        <v>3.1638752567906874</v>
      </c>
      <c r="R20" s="8">
        <f>G20/(NFA_in_yen!J19+NFA_in_yen!K19+NFA_in_yen!L19+NFA_in_yen!N19)*100</f>
        <v>9.8454134602066095</v>
      </c>
      <c r="S20" s="8">
        <f>H20/NFA_in_yen!J19*100</f>
        <v>7.6441759744700262</v>
      </c>
      <c r="T20" s="8">
        <f>I20/NFA_in_yen!K19*100</f>
        <v>25.203900305280904</v>
      </c>
      <c r="U20" s="8">
        <f>J20/NFA_in_yen!L19*100</f>
        <v>0.40004801449164623</v>
      </c>
      <c r="V20" s="8">
        <f>K20/NFA_in_yen!N19*100</f>
        <v>9.0550390287490874</v>
      </c>
      <c r="W20" s="8"/>
      <c r="X20" s="8">
        <f>yield!M20</f>
        <v>-3.3428046130775199E-2</v>
      </c>
      <c r="Y20" s="8"/>
      <c r="Z20" s="53">
        <f t="shared" si="2"/>
        <v>12.25129806832086</v>
      </c>
      <c r="AA20" s="8">
        <f t="shared" si="3"/>
        <v>15.086594071244864</v>
      </c>
      <c r="AB20" s="8">
        <f t="shared" si="4"/>
        <v>27.339185359112307</v>
      </c>
      <c r="AC20" s="8">
        <f t="shared" si="5"/>
        <v>13.702421008312825</v>
      </c>
      <c r="AD20" s="8">
        <f t="shared" si="6"/>
        <v>3.1983724563416027</v>
      </c>
      <c r="AE20" s="8">
        <f t="shared" si="7"/>
        <v>9.8821449142980633</v>
      </c>
      <c r="AF20" s="8">
        <f t="shared" si="8"/>
        <v>7.6801713518232173</v>
      </c>
      <c r="AG20" s="8">
        <f t="shared" si="9"/>
        <v>25.245767518223737</v>
      </c>
      <c r="AH20" s="8">
        <f t="shared" si="10"/>
        <v>0.43362101165422828</v>
      </c>
      <c r="AI20" s="8">
        <f t="shared" si="11"/>
        <v>9.0915061877622882</v>
      </c>
      <c r="AJ20" s="8"/>
      <c r="AK20" s="53">
        <f t="shared" si="12"/>
        <v>2.369153154022797</v>
      </c>
      <c r="AL20" s="8">
        <f t="shared" ref="AL20" si="13">AA20-AF20</f>
        <v>7.4064227194216468</v>
      </c>
      <c r="AM20" s="8">
        <f t="shared" ref="AM20" si="14">AB20-AG20</f>
        <v>2.09341784088857</v>
      </c>
      <c r="AN20" s="8">
        <f t="shared" ref="AN20" si="15">AC20-AH20</f>
        <v>13.268799996658597</v>
      </c>
      <c r="AO20" s="8">
        <f t="shared" ref="AO20" si="16">AD20-AI20</f>
        <v>-5.8931337314206855</v>
      </c>
      <c r="BC20" s="20"/>
      <c r="BD20" s="20"/>
      <c r="BE20" s="20"/>
      <c r="BF20" s="20"/>
      <c r="BG20" s="20"/>
    </row>
    <row r="21" spans="1:59">
      <c r="A21" s="11">
        <v>2013</v>
      </c>
      <c r="B21" s="26">
        <f>Balance_on_income!B21+'Stock-flow'!D21</f>
        <v>126369.42179999998</v>
      </c>
      <c r="C21" s="26">
        <f>Balance_on_income!C21+'Stock-flow'!O21</f>
        <v>21323.1</v>
      </c>
      <c r="D21" s="26">
        <f>Balance_on_income!D21+'Stock-flow'!Z21</f>
        <v>27168.400000000001</v>
      </c>
      <c r="E21" s="26">
        <f>Balance_on_income!E21+'Stock-flow'!AK21</f>
        <v>47846.3</v>
      </c>
      <c r="F21" s="26">
        <f>Balance_on_income!F21+'Stock-flow'!AV21</f>
        <v>9816.9999999999982</v>
      </c>
      <c r="G21" s="26">
        <f>Balance_on_income!G21+'Stock-flow'!E21</f>
        <v>74270</v>
      </c>
      <c r="H21" s="26">
        <f>Balance_on_income!H21+'Stock-flow'!P21</f>
        <v>1214.9000000000001</v>
      </c>
      <c r="I21" s="26">
        <f>Balance_on_income!I21+'Stock-flow'!AA21</f>
        <v>52920.3</v>
      </c>
      <c r="J21" s="26">
        <f>Balance_on_income!J21+'Stock-flow'!AL21</f>
        <v>3346.8999999999996</v>
      </c>
      <c r="K21" s="26">
        <f>Balance_on_income!K21+'Stock-flow'!AW21</f>
        <v>16787.900000000001</v>
      </c>
      <c r="M21" s="53">
        <f>B21/(NFA_in_yen!C20+NFA_in_yen!D20+NFA_in_yen!E20+NFA_in_yen!G20+NFA_in_yen!H20)*100</f>
        <v>19.226116997322297</v>
      </c>
      <c r="N21" s="8">
        <f>C21/NFA_in_yen!C20*100</f>
        <v>23.741663233607603</v>
      </c>
      <c r="O21" s="8">
        <f>D21/NFA_in_yen!D20*100</f>
        <v>45.680369903320731</v>
      </c>
      <c r="P21" s="8">
        <f>E21/NFA_in_yen!E20*100</f>
        <v>19.478458049886623</v>
      </c>
      <c r="Q21" s="8">
        <f>F21/NFA_in_yen!G20*100</f>
        <v>6.4209142460968911</v>
      </c>
      <c r="R21" s="8">
        <f>G21/(NFA_in_yen!J20+NFA_in_yen!K20+NFA_in_yen!L20+NFA_in_yen!N20)*100</f>
        <v>20.615552014922471</v>
      </c>
      <c r="S21" s="8">
        <f>H21/NFA_in_yen!J20*100</f>
        <v>6.8222147349505855</v>
      </c>
      <c r="T21" s="8">
        <f>I21/NFA_in_yen!K20*100</f>
        <v>63.335128536550343</v>
      </c>
      <c r="U21" s="8">
        <f>J21/NFA_in_yen!L20*100</f>
        <v>3.4522630688616571</v>
      </c>
      <c r="V21" s="8">
        <f>K21/NFA_in_yen!N20*100</f>
        <v>10.366100648348256</v>
      </c>
      <c r="W21" s="8"/>
      <c r="X21" s="8">
        <f>yield!M21</f>
        <v>0.35947166025784699</v>
      </c>
      <c r="Y21" s="8"/>
      <c r="Z21" s="53">
        <f t="shared" si="2"/>
        <v>18.799068015157339</v>
      </c>
      <c r="AA21" s="8">
        <f t="shared" si="3"/>
        <v>23.298440283249366</v>
      </c>
      <c r="AB21" s="8">
        <f t="shared" si="4"/>
        <v>45.158565996127976</v>
      </c>
      <c r="AC21" s="8">
        <f t="shared" si="5"/>
        <v>19.050505222218938</v>
      </c>
      <c r="AD21" s="8">
        <f t="shared" si="6"/>
        <v>6.0397314628743315</v>
      </c>
      <c r="AE21" s="8">
        <f t="shared" si="7"/>
        <v>20.183526297584109</v>
      </c>
      <c r="AF21" s="8">
        <f t="shared" si="8"/>
        <v>6.4395945572240265</v>
      </c>
      <c r="AG21" s="8">
        <f t="shared" si="9"/>
        <v>62.750088092811993</v>
      </c>
      <c r="AH21" s="8">
        <f t="shared" si="10"/>
        <v>3.0817135218424552</v>
      </c>
      <c r="AI21" s="8">
        <f t="shared" si="11"/>
        <v>9.9707868351134543</v>
      </c>
      <c r="AJ21" s="8"/>
      <c r="AK21" s="53">
        <f t="shared" ref="AK21" si="17">Z21-AE21</f>
        <v>-1.3844582824267704</v>
      </c>
      <c r="AL21" s="8">
        <f t="shared" ref="AL21" si="18">AA21-AF21</f>
        <v>16.85884572602534</v>
      </c>
      <c r="AM21" s="8">
        <f t="shared" ref="AM21" si="19">AB21-AG21</f>
        <v>-17.591522096684017</v>
      </c>
      <c r="AN21" s="8">
        <f t="shared" ref="AN21" si="20">AC21-AH21</f>
        <v>15.968791700376482</v>
      </c>
      <c r="AO21" s="8">
        <f t="shared" ref="AO21" si="21">AD21-AI21</f>
        <v>-3.9310553722391228</v>
      </c>
      <c r="BC21" s="20"/>
      <c r="BD21" s="20"/>
      <c r="BE21" s="20"/>
      <c r="BF21" s="20"/>
      <c r="BG21" s="20"/>
    </row>
    <row r="22" spans="1:59">
      <c r="B22" s="26"/>
      <c r="C22" s="26"/>
      <c r="X22" s="7"/>
      <c r="Z22" s="47"/>
      <c r="AK22" s="47"/>
    </row>
    <row r="23" spans="1:59">
      <c r="A23" s="11" t="s">
        <v>623</v>
      </c>
      <c r="Z23" s="53">
        <f>AVERAGE(Z4:Z21)</f>
        <v>4.1702356918544252</v>
      </c>
      <c r="AA23" s="8">
        <f>AVERAGE(AA4:AA21)</f>
        <v>4.3214564371007524</v>
      </c>
      <c r="AB23" s="8">
        <f t="shared" ref="AB23:AI23" si="22">AVERAGE(AB4:AB21)</f>
        <v>10.890798669363893</v>
      </c>
      <c r="AC23" s="8">
        <f t="shared" si="22"/>
        <v>5.8368024750361069</v>
      </c>
      <c r="AD23" s="8">
        <f t="shared" si="22"/>
        <v>2.2059937860200884</v>
      </c>
      <c r="AE23" s="8">
        <f t="shared" si="22"/>
        <v>3.1197302552146926</v>
      </c>
      <c r="AF23" s="8">
        <f t="shared" si="22"/>
        <v>9.1394019784668252</v>
      </c>
      <c r="AG23" s="8">
        <f t="shared" si="22"/>
        <v>8.8002494104296716</v>
      </c>
      <c r="AH23" s="8">
        <f t="shared" si="22"/>
        <v>0.38070240341559691</v>
      </c>
      <c r="AI23" s="8">
        <f t="shared" si="22"/>
        <v>3.3731074033520008</v>
      </c>
      <c r="AJ23" s="8"/>
      <c r="AK23" s="53">
        <f>AVERAGE(AK4:AK21)</f>
        <v>1.0505054366397322</v>
      </c>
      <c r="AL23" s="8">
        <f>AVERAGE(AL4:AL21)</f>
        <v>-4.8179455413660746</v>
      </c>
      <c r="AM23" s="8">
        <f>AVERAGE(AM4:AM21)</f>
        <v>2.0905492589342227</v>
      </c>
      <c r="AN23" s="8">
        <f>AVERAGE(AN4:AN21)</f>
        <v>5.4561000716205115</v>
      </c>
      <c r="AO23" s="8">
        <f>AVERAGE(AO4:AO21)</f>
        <v>-1.1671136173319128</v>
      </c>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P37"/>
  <sheetViews>
    <sheetView workbookViewId="0">
      <pane xSplit="1" ySplit="3" topLeftCell="B4" activePane="bottomRight" state="frozen"/>
      <selection pane="topRight" activeCell="B1" sqref="B1"/>
      <selection pane="bottomLeft" activeCell="A4" sqref="A4"/>
      <selection pane="bottomRight"/>
    </sheetView>
  </sheetViews>
  <sheetFormatPr baseColWidth="12" defaultRowHeight="18" x14ac:dyDescent="0"/>
  <cols>
    <col min="7" max="11" width="12.83203125" style="11"/>
    <col min="81" max="97" width="12.83203125" style="20"/>
    <col min="99" max="108" width="12.83203125" style="22"/>
    <col min="120" max="125" width="12.83203125" style="20"/>
    <col min="137" max="147" width="12.83203125" style="20"/>
    <col min="149" max="154" width="12.83203125" style="20"/>
    <col min="178" max="182" width="12.83203125" style="20"/>
  </cols>
  <sheetData>
    <row r="1" spans="1:224" s="11" customFormat="1" ht="15">
      <c r="A1" s="11" t="s">
        <v>228</v>
      </c>
      <c r="BP1" s="54"/>
      <c r="BR1" s="11" t="s">
        <v>565</v>
      </c>
      <c r="CC1" s="21"/>
      <c r="CD1" s="21"/>
      <c r="CE1" s="21"/>
      <c r="CF1" s="21"/>
      <c r="CG1" s="21"/>
      <c r="CH1" s="21"/>
      <c r="CI1" s="21"/>
      <c r="CJ1" s="21"/>
      <c r="CK1" s="21"/>
      <c r="CL1" s="21"/>
      <c r="CM1" s="21"/>
      <c r="CN1" s="21"/>
      <c r="CO1" s="21"/>
      <c r="CP1" s="21"/>
      <c r="CQ1" s="21"/>
      <c r="CR1" s="21"/>
      <c r="CS1" s="21"/>
      <c r="CU1" s="23" t="s">
        <v>231</v>
      </c>
      <c r="CV1" s="23"/>
      <c r="CW1" s="23"/>
      <c r="CX1" s="23"/>
      <c r="CY1" s="23"/>
      <c r="CZ1" s="23"/>
      <c r="DA1" s="23"/>
      <c r="DB1" s="23"/>
      <c r="DC1" s="23"/>
      <c r="DD1" s="23"/>
      <c r="DP1" s="21"/>
      <c r="DQ1" s="21"/>
      <c r="DR1" s="21"/>
      <c r="DS1" s="21"/>
      <c r="DT1" s="21"/>
      <c r="DU1" s="21"/>
      <c r="DV1" s="11" t="s">
        <v>590</v>
      </c>
      <c r="EG1" s="21"/>
      <c r="EH1" s="21"/>
      <c r="EI1" s="21"/>
      <c r="EJ1" s="21"/>
      <c r="EK1" s="21"/>
      <c r="EL1" s="21"/>
      <c r="EM1" s="21"/>
      <c r="EN1" s="21"/>
      <c r="EO1" s="21"/>
      <c r="EP1" s="21"/>
      <c r="EQ1" s="21"/>
      <c r="ES1" s="21"/>
      <c r="ET1" s="21"/>
      <c r="EU1" s="21"/>
      <c r="EV1" s="21"/>
      <c r="EW1" s="21"/>
      <c r="EX1" s="21"/>
      <c r="EY1" s="11" t="s">
        <v>187</v>
      </c>
      <c r="FV1" s="21"/>
      <c r="FW1" s="21"/>
      <c r="FX1" s="21"/>
      <c r="FY1" s="21"/>
      <c r="FZ1" s="21"/>
      <c r="GB1" s="11" t="s">
        <v>430</v>
      </c>
      <c r="GY1" s="21"/>
      <c r="GZ1" s="21"/>
      <c r="HA1" s="21"/>
      <c r="HB1" s="21"/>
      <c r="HC1" s="21"/>
      <c r="HF1" s="11" t="s">
        <v>232</v>
      </c>
    </row>
    <row r="2" spans="1:224" s="11" customFormat="1" ht="15">
      <c r="B2" s="11" t="s">
        <v>41</v>
      </c>
      <c r="G2" s="11" t="s">
        <v>42</v>
      </c>
      <c r="L2" s="11" t="s">
        <v>43</v>
      </c>
      <c r="Q2" s="11" t="s">
        <v>44</v>
      </c>
      <c r="V2" s="11" t="s">
        <v>45</v>
      </c>
      <c r="AA2" s="11" t="s">
        <v>46</v>
      </c>
      <c r="AF2" s="11" t="s">
        <v>47</v>
      </c>
      <c r="AK2" s="11" t="s">
        <v>48</v>
      </c>
      <c r="AP2" s="11" t="s">
        <v>49</v>
      </c>
      <c r="AU2" s="11" t="s">
        <v>50</v>
      </c>
      <c r="AZ2" s="11" t="s">
        <v>51</v>
      </c>
      <c r="BE2" s="11" t="s">
        <v>52</v>
      </c>
      <c r="BJ2" s="11" t="s">
        <v>53</v>
      </c>
      <c r="BP2" s="54"/>
      <c r="CC2" s="21"/>
      <c r="CD2" s="21"/>
      <c r="CE2" s="21"/>
      <c r="CF2" s="21"/>
      <c r="CG2" s="21"/>
      <c r="CH2" s="21"/>
      <c r="CI2" s="21"/>
      <c r="CJ2" s="21"/>
      <c r="CK2" s="21"/>
      <c r="CL2" s="21"/>
      <c r="CM2" s="21"/>
      <c r="CN2" s="21"/>
      <c r="CO2" s="21" t="s">
        <v>588</v>
      </c>
      <c r="CP2" s="21"/>
      <c r="CQ2" s="21"/>
      <c r="CR2" s="21"/>
      <c r="CS2" s="21"/>
      <c r="CU2" s="23"/>
      <c r="CV2" s="23"/>
      <c r="CW2" s="23"/>
      <c r="CX2" s="23"/>
      <c r="CY2" s="23"/>
      <c r="CZ2" s="23"/>
      <c r="DA2" s="23"/>
      <c r="DB2" s="23"/>
      <c r="DC2" s="23"/>
      <c r="DD2" s="23"/>
      <c r="DP2" s="21" t="s">
        <v>491</v>
      </c>
      <c r="DQ2" s="21"/>
      <c r="DR2" s="21"/>
      <c r="DS2" s="21"/>
      <c r="DT2" s="21"/>
      <c r="DU2" s="21"/>
      <c r="DV2" s="11" t="s">
        <v>54</v>
      </c>
      <c r="EG2" s="21"/>
      <c r="EH2" s="21"/>
      <c r="EI2" s="21"/>
      <c r="EJ2" s="21"/>
      <c r="EK2" s="21"/>
      <c r="EL2" s="21"/>
      <c r="EM2" s="21"/>
      <c r="EN2" s="21"/>
      <c r="EO2" s="21"/>
      <c r="EP2" s="21"/>
      <c r="EQ2" s="21"/>
      <c r="ES2" s="21" t="s">
        <v>592</v>
      </c>
      <c r="ET2" s="21"/>
      <c r="EU2" s="21"/>
      <c r="EV2" s="21"/>
      <c r="EW2" s="21"/>
      <c r="EX2" s="21"/>
      <c r="FV2" s="21" t="s">
        <v>429</v>
      </c>
      <c r="FW2" s="21"/>
      <c r="FX2" s="21"/>
      <c r="FY2" s="21"/>
      <c r="FZ2" s="21"/>
      <c r="GY2" s="21" t="s">
        <v>431</v>
      </c>
      <c r="GZ2" s="21"/>
      <c r="HA2" s="21"/>
      <c r="HB2" s="21"/>
      <c r="HC2" s="21"/>
      <c r="HI2" s="11" t="s">
        <v>197</v>
      </c>
    </row>
    <row r="3" spans="1:224" s="9" customFormat="1" ht="90">
      <c r="B3" s="9" t="s">
        <v>55</v>
      </c>
      <c r="C3" s="9" t="s">
        <v>56</v>
      </c>
      <c r="D3" s="9" t="s">
        <v>57</v>
      </c>
      <c r="E3" s="9" t="s">
        <v>58</v>
      </c>
      <c r="F3" s="9" t="s">
        <v>59</v>
      </c>
      <c r="G3" s="9" t="s">
        <v>60</v>
      </c>
      <c r="H3" s="9" t="s">
        <v>61</v>
      </c>
      <c r="I3" s="9" t="s">
        <v>62</v>
      </c>
      <c r="J3" s="9" t="s">
        <v>63</v>
      </c>
      <c r="K3" s="9" t="s">
        <v>64</v>
      </c>
      <c r="L3" s="9" t="s">
        <v>65</v>
      </c>
      <c r="M3" s="9" t="s">
        <v>66</v>
      </c>
      <c r="N3" s="9" t="s">
        <v>62</v>
      </c>
      <c r="O3" s="9" t="s">
        <v>63</v>
      </c>
      <c r="P3" s="9" t="s">
        <v>64</v>
      </c>
      <c r="Q3" s="55" t="s">
        <v>67</v>
      </c>
      <c r="R3" s="55" t="s">
        <v>68</v>
      </c>
      <c r="S3" s="55" t="s">
        <v>69</v>
      </c>
      <c r="T3" s="55" t="s">
        <v>70</v>
      </c>
      <c r="U3" s="55" t="s">
        <v>71</v>
      </c>
      <c r="V3" s="55" t="s">
        <v>67</v>
      </c>
      <c r="W3" s="55" t="s">
        <v>68</v>
      </c>
      <c r="X3" s="55" t="s">
        <v>69</v>
      </c>
      <c r="Y3" s="55" t="s">
        <v>70</v>
      </c>
      <c r="Z3" s="55" t="s">
        <v>71</v>
      </c>
      <c r="AA3" s="55" t="s">
        <v>67</v>
      </c>
      <c r="AB3" s="55" t="s">
        <v>68</v>
      </c>
      <c r="AC3" s="55" t="s">
        <v>69</v>
      </c>
      <c r="AD3" s="55" t="s">
        <v>70</v>
      </c>
      <c r="AE3" s="55" t="s">
        <v>71</v>
      </c>
      <c r="AF3" s="55" t="s">
        <v>67</v>
      </c>
      <c r="AG3" s="55" t="s">
        <v>194</v>
      </c>
      <c r="AH3" s="55" t="s">
        <v>69</v>
      </c>
      <c r="AI3" s="55" t="s">
        <v>70</v>
      </c>
      <c r="AJ3" s="55" t="s">
        <v>71</v>
      </c>
      <c r="AK3" s="55" t="s">
        <v>67</v>
      </c>
      <c r="AL3" s="55" t="s">
        <v>68</v>
      </c>
      <c r="AM3" s="55" t="s">
        <v>69</v>
      </c>
      <c r="AN3" s="55" t="s">
        <v>70</v>
      </c>
      <c r="AO3" s="55" t="s">
        <v>71</v>
      </c>
      <c r="AP3" s="55" t="s">
        <v>67</v>
      </c>
      <c r="AQ3" s="55" t="s">
        <v>68</v>
      </c>
      <c r="AR3" s="55" t="s">
        <v>69</v>
      </c>
      <c r="AS3" s="55" t="s">
        <v>70</v>
      </c>
      <c r="AT3" s="55" t="s">
        <v>71</v>
      </c>
      <c r="AU3" s="55" t="s">
        <v>67</v>
      </c>
      <c r="AV3" s="55" t="s">
        <v>68</v>
      </c>
      <c r="AW3" s="55" t="s">
        <v>69</v>
      </c>
      <c r="AX3" s="55" t="s">
        <v>70</v>
      </c>
      <c r="AY3" s="55" t="s">
        <v>71</v>
      </c>
      <c r="AZ3" s="55" t="s">
        <v>67</v>
      </c>
      <c r="BA3" s="55" t="s">
        <v>68</v>
      </c>
      <c r="BB3" s="55" t="s">
        <v>69</v>
      </c>
      <c r="BC3" s="55" t="s">
        <v>70</v>
      </c>
      <c r="BD3" s="55" t="s">
        <v>71</v>
      </c>
      <c r="BE3" s="55" t="s">
        <v>67</v>
      </c>
      <c r="BF3" s="55" t="s">
        <v>68</v>
      </c>
      <c r="BG3" s="55" t="s">
        <v>69</v>
      </c>
      <c r="BH3" s="55" t="s">
        <v>70</v>
      </c>
      <c r="BI3" s="55" t="s">
        <v>71</v>
      </c>
      <c r="BJ3" s="55" t="s">
        <v>67</v>
      </c>
      <c r="BK3" s="55" t="s">
        <v>68</v>
      </c>
      <c r="BL3" s="55" t="s">
        <v>69</v>
      </c>
      <c r="BM3" s="55" t="s">
        <v>70</v>
      </c>
      <c r="BN3" s="55" t="s">
        <v>71</v>
      </c>
      <c r="BP3" s="56" t="s">
        <v>28</v>
      </c>
      <c r="BR3" s="9" t="s">
        <v>566</v>
      </c>
      <c r="BS3" s="9" t="s">
        <v>567</v>
      </c>
      <c r="BT3" s="9" t="s">
        <v>568</v>
      </c>
      <c r="BU3" s="9" t="s">
        <v>569</v>
      </c>
      <c r="BV3" s="9" t="s">
        <v>570</v>
      </c>
      <c r="BW3" s="9" t="s">
        <v>571</v>
      </c>
      <c r="BX3" s="9" t="s">
        <v>572</v>
      </c>
      <c r="BY3" s="9" t="s">
        <v>573</v>
      </c>
      <c r="BZ3" s="9" t="s">
        <v>574</v>
      </c>
      <c r="CA3" s="9" t="s">
        <v>575</v>
      </c>
      <c r="CB3" s="9" t="s">
        <v>576</v>
      </c>
      <c r="CC3" s="57" t="s">
        <v>577</v>
      </c>
      <c r="CD3" s="57" t="s">
        <v>578</v>
      </c>
      <c r="CE3" s="57" t="s">
        <v>579</v>
      </c>
      <c r="CF3" s="57" t="s">
        <v>580</v>
      </c>
      <c r="CG3" s="57" t="s">
        <v>581</v>
      </c>
      <c r="CH3" s="57" t="s">
        <v>582</v>
      </c>
      <c r="CI3" s="57" t="s">
        <v>583</v>
      </c>
      <c r="CJ3" s="57" t="s">
        <v>584</v>
      </c>
      <c r="CK3" s="57" t="s">
        <v>585</v>
      </c>
      <c r="CL3" s="57" t="s">
        <v>586</v>
      </c>
      <c r="CM3" s="57" t="s">
        <v>587</v>
      </c>
      <c r="CN3" s="57"/>
      <c r="CO3" s="57" t="s">
        <v>72</v>
      </c>
      <c r="CP3" s="57" t="s">
        <v>73</v>
      </c>
      <c r="CQ3" s="57" t="s">
        <v>74</v>
      </c>
      <c r="CR3" s="57" t="s">
        <v>75</v>
      </c>
      <c r="CS3" s="57" t="s">
        <v>76</v>
      </c>
      <c r="CU3" s="58" t="s">
        <v>77</v>
      </c>
      <c r="CV3" s="58" t="s">
        <v>79</v>
      </c>
      <c r="CW3" s="58" t="s">
        <v>81</v>
      </c>
      <c r="CX3" s="58" t="s">
        <v>83</v>
      </c>
      <c r="CY3" s="58" t="s">
        <v>85</v>
      </c>
      <c r="CZ3" s="58" t="s">
        <v>78</v>
      </c>
      <c r="DA3" s="58" t="s">
        <v>80</v>
      </c>
      <c r="DB3" s="58" t="s">
        <v>82</v>
      </c>
      <c r="DC3" s="58" t="s">
        <v>84</v>
      </c>
      <c r="DD3" s="58" t="s">
        <v>86</v>
      </c>
      <c r="DE3" s="57" t="s">
        <v>406</v>
      </c>
      <c r="DF3" s="57" t="s">
        <v>407</v>
      </c>
      <c r="DG3" s="57" t="s">
        <v>408</v>
      </c>
      <c r="DH3" s="57" t="s">
        <v>409</v>
      </c>
      <c r="DI3" s="57" t="s">
        <v>410</v>
      </c>
      <c r="DJ3" s="57" t="s">
        <v>411</v>
      </c>
      <c r="DK3" s="57" t="s">
        <v>412</v>
      </c>
      <c r="DL3" s="57" t="s">
        <v>413</v>
      </c>
      <c r="DM3" s="57" t="s">
        <v>414</v>
      </c>
      <c r="DN3" s="57" t="s">
        <v>415</v>
      </c>
      <c r="DP3" s="57" t="s">
        <v>72</v>
      </c>
      <c r="DQ3" s="57" t="s">
        <v>73</v>
      </c>
      <c r="DR3" s="57" t="s">
        <v>74</v>
      </c>
      <c r="DS3" s="57" t="s">
        <v>75</v>
      </c>
      <c r="DT3" s="57" t="s">
        <v>76</v>
      </c>
      <c r="DU3" s="57"/>
      <c r="DV3" s="9" t="s">
        <v>591</v>
      </c>
      <c r="DW3" s="9" t="s">
        <v>567</v>
      </c>
      <c r="DX3" s="9" t="s">
        <v>568</v>
      </c>
      <c r="DY3" s="9" t="s">
        <v>569</v>
      </c>
      <c r="DZ3" s="9" t="s">
        <v>570</v>
      </c>
      <c r="EA3" s="9" t="s">
        <v>571</v>
      </c>
      <c r="EB3" s="9" t="s">
        <v>572</v>
      </c>
      <c r="EC3" s="9" t="s">
        <v>573</v>
      </c>
      <c r="ED3" s="9" t="s">
        <v>574</v>
      </c>
      <c r="EE3" s="9" t="s">
        <v>575</v>
      </c>
      <c r="EF3" s="9" t="s">
        <v>576</v>
      </c>
      <c r="EG3" s="57" t="s">
        <v>577</v>
      </c>
      <c r="EH3" s="57" t="s">
        <v>578</v>
      </c>
      <c r="EI3" s="57" t="s">
        <v>579</v>
      </c>
      <c r="EJ3" s="57" t="s">
        <v>580</v>
      </c>
      <c r="EK3" s="57" t="s">
        <v>581</v>
      </c>
      <c r="EL3" s="57" t="s">
        <v>582</v>
      </c>
      <c r="EM3" s="57" t="s">
        <v>583</v>
      </c>
      <c r="EN3" s="57" t="s">
        <v>584</v>
      </c>
      <c r="EO3" s="57" t="s">
        <v>585</v>
      </c>
      <c r="EP3" s="57" t="s">
        <v>586</v>
      </c>
      <c r="EQ3" s="57" t="s">
        <v>587</v>
      </c>
      <c r="ES3" s="57" t="s">
        <v>72</v>
      </c>
      <c r="ET3" s="57" t="s">
        <v>73</v>
      </c>
      <c r="EU3" s="57" t="s">
        <v>74</v>
      </c>
      <c r="EV3" s="57" t="s">
        <v>75</v>
      </c>
      <c r="EW3" s="57" t="s">
        <v>76</v>
      </c>
      <c r="EX3" s="57"/>
      <c r="EY3" s="9" t="s">
        <v>416</v>
      </c>
      <c r="EZ3" s="9" t="s">
        <v>87</v>
      </c>
      <c r="FA3" s="9" t="s">
        <v>89</v>
      </c>
      <c r="FB3" s="9" t="s">
        <v>91</v>
      </c>
      <c r="FC3" s="9" t="s">
        <v>93</v>
      </c>
      <c r="FD3" s="9" t="s">
        <v>95</v>
      </c>
      <c r="FE3" s="9" t="s">
        <v>417</v>
      </c>
      <c r="FF3" s="9" t="s">
        <v>88</v>
      </c>
      <c r="FG3" s="9" t="s">
        <v>90</v>
      </c>
      <c r="FH3" s="9" t="s">
        <v>92</v>
      </c>
      <c r="FI3" s="9" t="s">
        <v>94</v>
      </c>
      <c r="FJ3" s="57" t="s">
        <v>418</v>
      </c>
      <c r="FK3" s="57" t="s">
        <v>419</v>
      </c>
      <c r="FL3" s="57" t="s">
        <v>420</v>
      </c>
      <c r="FM3" s="57" t="s">
        <v>421</v>
      </c>
      <c r="FN3" s="57" t="s">
        <v>422</v>
      </c>
      <c r="FO3" s="57" t="s">
        <v>423</v>
      </c>
      <c r="FP3" s="57" t="s">
        <v>424</v>
      </c>
      <c r="FQ3" s="57" t="s">
        <v>425</v>
      </c>
      <c r="FR3" s="57" t="s">
        <v>426</v>
      </c>
      <c r="FS3" s="57" t="s">
        <v>427</v>
      </c>
      <c r="FT3" s="57" t="s">
        <v>428</v>
      </c>
      <c r="FV3" s="57" t="s">
        <v>230</v>
      </c>
      <c r="FW3" s="57" t="s">
        <v>73</v>
      </c>
      <c r="FX3" s="57" t="s">
        <v>74</v>
      </c>
      <c r="FY3" s="57" t="s">
        <v>75</v>
      </c>
      <c r="FZ3" s="57" t="s">
        <v>76</v>
      </c>
      <c r="GB3" s="9" t="s">
        <v>416</v>
      </c>
      <c r="GC3" s="9" t="s">
        <v>87</v>
      </c>
      <c r="GD3" s="9" t="s">
        <v>89</v>
      </c>
      <c r="GE3" s="9" t="s">
        <v>91</v>
      </c>
      <c r="GF3" s="9" t="s">
        <v>93</v>
      </c>
      <c r="GG3" s="9" t="s">
        <v>95</v>
      </c>
      <c r="GH3" s="9" t="s">
        <v>432</v>
      </c>
      <c r="GI3" s="9" t="s">
        <v>88</v>
      </c>
      <c r="GJ3" s="9" t="s">
        <v>90</v>
      </c>
      <c r="GK3" s="9" t="s">
        <v>92</v>
      </c>
      <c r="GL3" s="9" t="s">
        <v>94</v>
      </c>
      <c r="GM3" s="57" t="s">
        <v>418</v>
      </c>
      <c r="GN3" s="57" t="s">
        <v>419</v>
      </c>
      <c r="GO3" s="57" t="s">
        <v>420</v>
      </c>
      <c r="GP3" s="57" t="s">
        <v>421</v>
      </c>
      <c r="GQ3" s="57" t="s">
        <v>422</v>
      </c>
      <c r="GR3" s="57" t="s">
        <v>423</v>
      </c>
      <c r="GS3" s="57" t="s">
        <v>433</v>
      </c>
      <c r="GT3" s="57" t="s">
        <v>425</v>
      </c>
      <c r="GU3" s="57" t="s">
        <v>434</v>
      </c>
      <c r="GV3" s="57" t="s">
        <v>427</v>
      </c>
      <c r="GW3" s="57" t="s">
        <v>435</v>
      </c>
      <c r="GY3" s="57" t="s">
        <v>72</v>
      </c>
      <c r="GZ3" s="57" t="s">
        <v>73</v>
      </c>
      <c r="HA3" s="57" t="s">
        <v>74</v>
      </c>
      <c r="HB3" s="57" t="s">
        <v>75</v>
      </c>
      <c r="HC3" s="57" t="s">
        <v>76</v>
      </c>
      <c r="HF3" s="9" t="s">
        <v>436</v>
      </c>
      <c r="HG3" s="9" t="s">
        <v>437</v>
      </c>
      <c r="HI3" s="9" t="s">
        <v>195</v>
      </c>
      <c r="HJ3" s="9" t="s">
        <v>438</v>
      </c>
      <c r="HL3" s="9" t="s">
        <v>198</v>
      </c>
    </row>
    <row r="4" spans="1:224" s="9" customFormat="1" ht="15">
      <c r="A4" s="11">
        <v>2001</v>
      </c>
      <c r="B4" s="59">
        <v>379781</v>
      </c>
      <c r="C4" s="59">
        <v>38575</v>
      </c>
      <c r="D4" s="59">
        <v>18686</v>
      </c>
      <c r="E4" s="59">
        <v>27789</v>
      </c>
      <c r="F4" s="59">
        <v>-7900</v>
      </c>
      <c r="G4" s="59">
        <v>39555</v>
      </c>
      <c r="H4" s="59">
        <v>7562</v>
      </c>
      <c r="I4" s="59">
        <v>4659</v>
      </c>
      <c r="J4" s="59">
        <v>3692</v>
      </c>
      <c r="K4" s="59">
        <v>-789</v>
      </c>
      <c r="L4" s="59">
        <v>29965</v>
      </c>
      <c r="M4" s="59">
        <v>-168</v>
      </c>
      <c r="N4" s="59">
        <v>1414</v>
      </c>
      <c r="O4" s="59">
        <v>3232</v>
      </c>
      <c r="P4" s="59">
        <v>-4814</v>
      </c>
      <c r="Q4" s="60">
        <v>140025</v>
      </c>
      <c r="R4" s="60">
        <v>20043</v>
      </c>
      <c r="S4" s="60">
        <v>10989</v>
      </c>
      <c r="T4" s="60">
        <v>10292</v>
      </c>
      <c r="U4" s="60">
        <v>-1239</v>
      </c>
      <c r="V4" s="60">
        <v>395</v>
      </c>
      <c r="W4" s="60">
        <v>15</v>
      </c>
      <c r="X4" s="60">
        <v>1771</v>
      </c>
      <c r="Y4" s="60">
        <v>3</v>
      </c>
      <c r="Z4" s="60">
        <v>-1760</v>
      </c>
      <c r="AA4" s="60">
        <v>117069</v>
      </c>
      <c r="AB4" s="60">
        <v>-171</v>
      </c>
      <c r="AC4" s="60">
        <v>-5083</v>
      </c>
      <c r="AD4" s="60">
        <v>4982</v>
      </c>
      <c r="AE4" s="60">
        <v>-70</v>
      </c>
      <c r="AF4" s="60">
        <v>52772</v>
      </c>
      <c r="AG4" s="60">
        <v>11294</v>
      </c>
      <c r="AH4" s="60">
        <v>4936</v>
      </c>
      <c r="AI4" s="60">
        <v>5586</v>
      </c>
      <c r="AJ4" s="60">
        <v>772</v>
      </c>
      <c r="AK4" s="60">
        <v>200524</v>
      </c>
      <c r="AL4" s="60">
        <v>-7635</v>
      </c>
      <c r="AM4" s="60">
        <v>7674</v>
      </c>
      <c r="AN4" s="60">
        <v>7773</v>
      </c>
      <c r="AO4" s="60">
        <v>-23083</v>
      </c>
      <c r="AP4" s="60">
        <v>6632</v>
      </c>
      <c r="AQ4" s="60">
        <v>850</v>
      </c>
      <c r="AR4" s="60">
        <v>759</v>
      </c>
      <c r="AS4" s="60">
        <v>0</v>
      </c>
      <c r="AT4" s="60">
        <v>91</v>
      </c>
      <c r="AU4" s="60">
        <v>49563</v>
      </c>
      <c r="AV4" s="60">
        <v>-13659</v>
      </c>
      <c r="AW4" s="60">
        <v>4097</v>
      </c>
      <c r="AX4" s="60">
        <v>0</v>
      </c>
      <c r="AY4" s="60">
        <v>-17756</v>
      </c>
      <c r="AZ4" s="60">
        <v>38189</v>
      </c>
      <c r="BA4" s="60">
        <v>-198</v>
      </c>
      <c r="BB4" s="60">
        <v>693</v>
      </c>
      <c r="BC4" s="60">
        <v>921</v>
      </c>
      <c r="BD4" s="60">
        <v>-1812</v>
      </c>
      <c r="BE4" s="60">
        <v>467</v>
      </c>
      <c r="BF4" s="60">
        <v>101</v>
      </c>
      <c r="BG4" s="60">
        <v>1716</v>
      </c>
      <c r="BH4" s="60">
        <v>0</v>
      </c>
      <c r="BI4" s="60">
        <v>-1616</v>
      </c>
      <c r="BJ4" s="60">
        <v>105673</v>
      </c>
      <c r="BK4" s="60">
        <v>5271</v>
      </c>
      <c r="BL4" s="60">
        <v>409</v>
      </c>
      <c r="BM4" s="60">
        <v>6853</v>
      </c>
      <c r="BN4" s="60">
        <v>-1991</v>
      </c>
      <c r="BP4" s="54">
        <f>yield!M9</f>
        <v>-0.80337580134707898</v>
      </c>
      <c r="BR4" s="11">
        <f>BS4+BT4+BU4+BV4+BW4</f>
        <v>21645</v>
      </c>
      <c r="BS4" s="11">
        <f>H4-I4</f>
        <v>2903</v>
      </c>
      <c r="BT4" s="11">
        <f>M4-N4</f>
        <v>-1582</v>
      </c>
      <c r="BU4" s="11">
        <f>R4-S4</f>
        <v>9054</v>
      </c>
      <c r="BV4" s="11">
        <f>AB4-AC4</f>
        <v>4912</v>
      </c>
      <c r="BW4" s="11">
        <f>AG4-AH4</f>
        <v>6358</v>
      </c>
      <c r="BX4" s="11">
        <f>BY4+BZ4+CA4+CB4</f>
        <v>-13694</v>
      </c>
      <c r="BY4" s="11">
        <f>AQ4-AR4</f>
        <v>91</v>
      </c>
      <c r="BZ4" s="11">
        <f>AV4-AW4</f>
        <v>-17756</v>
      </c>
      <c r="CA4" s="11">
        <f>BA4-BB4</f>
        <v>-891</v>
      </c>
      <c r="CB4" s="11">
        <f>BK4-BL4</f>
        <v>4862</v>
      </c>
      <c r="CC4" s="21">
        <f>((1+BR4/(G4-H4+L4-M4+Q4-R4+AA4-AB4+AF4-AG4))/(1+BP4/100)-1)*100</f>
        <v>7.2120636645580216</v>
      </c>
      <c r="CD4" s="21">
        <f>((1+BS4/(G4-H4))/(1+BP4/100)-1)*100</f>
        <v>9.957229681951052</v>
      </c>
      <c r="CE4" s="21">
        <f>((1+BT4/(L4-M4))/(1+BP4/100)-1)*100</f>
        <v>-4.4826951627018889</v>
      </c>
      <c r="CF4" s="21">
        <f>((1+BU4/(Q4-R4))/(1+BP4/100)-1)*100</f>
        <v>8.4171288978687198</v>
      </c>
      <c r="CG4" s="21">
        <f>((1+BV4/(AA4-AB4))/(1+BP4/100)-1)*100</f>
        <v>5.0335101532454241</v>
      </c>
      <c r="CH4" s="21">
        <f>((1+BW4/(AF4-AG4))/(1+BP4/100)-1)*100</f>
        <v>16.262633802717353</v>
      </c>
      <c r="CI4" s="21">
        <f>((1+BX4/(AP4-AQ4+AU4-AV4+AZ4-BA4+BJ4-BK4))/(1+BP4/100)-1)*100</f>
        <v>-5.8337031327592488</v>
      </c>
      <c r="CJ4" s="21">
        <f>((1+BY4/(AP4-AQ4))/(1+BP4/100)-1)*100</f>
        <v>2.3964784078952528</v>
      </c>
      <c r="CK4" s="21">
        <f>((1+BZ4/(AU4-AV4))/(1+BP4/100)-1)*100</f>
        <v>-27.502734743323654</v>
      </c>
      <c r="CL4" s="21">
        <f>((1+CA4/(AZ4-BA4))/(1+BP4/100)-1)*100</f>
        <v>-1.5300142513888115</v>
      </c>
      <c r="CM4" s="21">
        <f>((1+CB4/(BJ4-BK4))/(1+BP4/100)-1)*100</f>
        <v>5.6916340291087497</v>
      </c>
      <c r="CN4" s="57"/>
      <c r="CO4" s="21">
        <f>CC4-CI4</f>
        <v>13.04576679731727</v>
      </c>
      <c r="CP4" s="21">
        <f>CD4-CJ4</f>
        <v>7.5607512740557992</v>
      </c>
      <c r="CQ4" s="21">
        <f>CE4-CK4</f>
        <v>23.020039580621763</v>
      </c>
      <c r="CR4" s="21">
        <f>CF4-CL4</f>
        <v>9.9471431492575313</v>
      </c>
      <c r="CS4" s="21">
        <f>CG4-CM4</f>
        <v>-0.65812387586332566</v>
      </c>
      <c r="CU4" s="23">
        <f>Balance_on_income!B9</f>
        <v>12488.599999999999</v>
      </c>
      <c r="CV4" s="23">
        <f>Balance_on_income!C9</f>
        <v>2044.7</v>
      </c>
      <c r="CW4" s="23">
        <f>Balance_on_income!D9</f>
        <v>877</v>
      </c>
      <c r="CX4" s="23">
        <f>Balance_on_income!E9</f>
        <v>6786.2</v>
      </c>
      <c r="CY4" s="23">
        <f>Balance_on_income!F9</f>
        <v>2780.7</v>
      </c>
      <c r="CZ4" s="23">
        <f>Balance_on_income!G9</f>
        <v>4082.8</v>
      </c>
      <c r="DA4" s="23">
        <f>Balance_on_income!H9</f>
        <v>501.3</v>
      </c>
      <c r="DB4" s="23">
        <f>Balance_on_income!I9</f>
        <v>325</v>
      </c>
      <c r="DC4" s="23">
        <f>Balance_on_income!J9</f>
        <v>1111.5</v>
      </c>
      <c r="DD4" s="23">
        <f>Balance_on_income!K9</f>
        <v>2145</v>
      </c>
      <c r="DE4" s="21">
        <f>((1+CU4/(G4-H4+L4-M4+Q4-R4+AA4-AB4+AF4-AG4))/(1+BP4/100)-1)*100</f>
        <v>4.5037737882971385</v>
      </c>
      <c r="DF4" s="21">
        <f>((1+CV4/(G4-H4))/(1+BP4/100)-1)*100</f>
        <v>7.2527280131059468</v>
      </c>
      <c r="DG4" s="21">
        <f>((1+CW4/(L4-M4))/(1+BP4/100)-1)*100</f>
        <v>3.7438836819941201</v>
      </c>
      <c r="DH4" s="21">
        <f>((1+CX4/(Q4-R4))/(1+BP4/100)-1)*100</f>
        <v>6.5117043270932262</v>
      </c>
      <c r="DI4" s="21">
        <f>((1+CY4/(AA4-AB4))/(1+BP4/100)-1)*100</f>
        <v>3.2008924295109598</v>
      </c>
      <c r="DJ4" s="21">
        <f>((1+CZ4/(AP4-AQ4+AU4-AV4+AZ4-BA4+BJ4-BK4))/(1+BP4/100)-1)*100</f>
        <v>2.7906350974715277</v>
      </c>
      <c r="DK4" s="21">
        <f>((1+DA4/(AP4-AQ4))/(1+BP4/100)-1)*100</f>
        <v>9.5501094466760037</v>
      </c>
      <c r="DL4" s="21">
        <f>((1+DB4/(AU4-AV4))/(1+BP4/100)-1)*100</f>
        <v>1.3281070528749384</v>
      </c>
      <c r="DM4" s="21">
        <f>((1+DC4/(AZ4-BA4))/(1+BP4/100)-1)*100</f>
        <v>3.7288439324599798</v>
      </c>
      <c r="DN4" s="21">
        <f>((1+DD4/(BJ4-BK4))/(1+BP4/100)-1)*100</f>
        <v>2.9635962416687089</v>
      </c>
      <c r="DP4" s="21">
        <f>DE4-DJ4</f>
        <v>1.7131386908256108</v>
      </c>
      <c r="DQ4" s="21">
        <f>DF4-DK4</f>
        <v>-2.2973814335700569</v>
      </c>
      <c r="DR4" s="21">
        <f>DG4-DL4</f>
        <v>2.4157766291191818</v>
      </c>
      <c r="DS4" s="21">
        <f>DH4-DM4</f>
        <v>2.7828603946332464</v>
      </c>
      <c r="DT4" s="21">
        <f>DI4-DN4</f>
        <v>0.23729618784225082</v>
      </c>
      <c r="DU4" s="21"/>
      <c r="DV4" s="11">
        <f>DW4+DX4+DY4+DZ4+EA4</f>
        <v>-6139</v>
      </c>
      <c r="DW4" s="11">
        <f>H4-I4-J4</f>
        <v>-789</v>
      </c>
      <c r="DX4" s="11">
        <f>M4-N4-O4</f>
        <v>-4814</v>
      </c>
      <c r="DY4" s="11">
        <f>R4-S4-T4</f>
        <v>-1238</v>
      </c>
      <c r="DZ4" s="11">
        <f>AB4-AC4-AD4</f>
        <v>-70</v>
      </c>
      <c r="EA4" s="11">
        <f>AG4-AH4-AI4</f>
        <v>772</v>
      </c>
      <c r="EB4" s="11">
        <f>EC4+ED4+EE4+EF4</f>
        <v>-21468</v>
      </c>
      <c r="EC4" s="11">
        <f>AQ4-AR4-AS4</f>
        <v>91</v>
      </c>
      <c r="ED4" s="11">
        <f>AV4-AW4-AX4</f>
        <v>-17756</v>
      </c>
      <c r="EE4" s="11">
        <f>BA4-BB4-BC4</f>
        <v>-1812</v>
      </c>
      <c r="EF4" s="11">
        <f>BK4-BL4-BM4</f>
        <v>-1991</v>
      </c>
      <c r="EG4" s="21">
        <f t="shared" ref="EG4:EG15" si="0">((1+DV4/(G4-H4+L4-M4+Q4-R4+AA4-AB4+AF4-AG4))/(1+BP4/100)-1)*100</f>
        <v>-1.0059178480487319</v>
      </c>
      <c r="EH4" s="21">
        <f t="shared" ref="EH4:EH15" si="1">((1+DW4/(G4-H4))/(1+BP4/100)-1)*100</f>
        <v>-1.6762553015932879</v>
      </c>
      <c r="EI4" s="21">
        <f t="shared" ref="EI4:EI15" si="2">((1+DX4/(L4-M4))/(1+BP4/100)-1)*100</f>
        <v>-15.295343729622402</v>
      </c>
      <c r="EJ4" s="21">
        <f t="shared" ref="EJ4:EJ15" si="3">((1+DY4/(Q4-R4))/(1+BP4/100)-1)*100</f>
        <v>-0.23029577909635668</v>
      </c>
      <c r="EK4" s="21">
        <f t="shared" ref="EK4:EK15" si="4">((1+DZ4/(AA4-AB4))/(1+BP4/100)-1)*100</f>
        <v>0.74969206116777265</v>
      </c>
      <c r="EL4" s="21">
        <f t="shared" ref="EL4:EL15" si="5">((1+EA4/(AF4-AG4))/(1+BP4/100)-1)*100</f>
        <v>2.6861835890293451</v>
      </c>
      <c r="EM4" s="21">
        <f t="shared" ref="EM4:EM15" si="6">((1+EB4/(AP4-AQ4+AU4-AV4+AZ4-BA4+BJ4-BK4))/(1+BP4/100)-1)*100</f>
        <v>-9.6052258703618669</v>
      </c>
      <c r="EN4" s="21">
        <f t="shared" ref="EN4:EN15" si="7">((1+EC4/(AP4-AQ4))/(1+BP4/100)-1)*100</f>
        <v>2.3964784078952528</v>
      </c>
      <c r="EO4" s="21">
        <f t="shared" ref="EO4:EO15" si="8">((1+ED4/(AU4-AV4))/(1+BP4/100)-1)*100</f>
        <v>-27.502734743323654</v>
      </c>
      <c r="EP4" s="21">
        <f t="shared" ref="EP4:EP15" si="9">((1+EE4/(AZ4-BA4))/(1+BP4/100)-1)*100</f>
        <v>-3.9486950939979115</v>
      </c>
      <c r="EQ4" s="21">
        <f t="shared" ref="EQ4:EQ15" si="10">((1+EF4/(BJ4-BK4))/(1+BP4/100)-1)*100</f>
        <v>-1.1892062201833364</v>
      </c>
      <c r="ES4" s="21">
        <f>EG4-EM4</f>
        <v>8.5993080223131351</v>
      </c>
      <c r="ET4" s="21">
        <f>EH4-EN4</f>
        <v>-4.0727337094885403</v>
      </c>
      <c r="EU4" s="21">
        <f>EI4-EO4</f>
        <v>12.207391013701251</v>
      </c>
      <c r="EV4" s="21">
        <f>EJ4-EP4</f>
        <v>3.7183993149015548</v>
      </c>
      <c r="EW4" s="21">
        <f>EK4-EQ4</f>
        <v>1.9388982813511091</v>
      </c>
      <c r="EX4" s="21"/>
      <c r="EY4" s="23">
        <f>EZ4+FA4+FB4+FC4+FD4</f>
        <v>34133.600000000006</v>
      </c>
      <c r="EZ4" s="23">
        <f>BS4+CV4</f>
        <v>4947.7</v>
      </c>
      <c r="FA4" s="23">
        <f>BT4+CW4</f>
        <v>-705</v>
      </c>
      <c r="FB4" s="23">
        <f>BU4+CX4</f>
        <v>15840.2</v>
      </c>
      <c r="FC4" s="23">
        <f>BV4+CY4</f>
        <v>7692.7</v>
      </c>
      <c r="FD4" s="23">
        <f>BW4</f>
        <v>6358</v>
      </c>
      <c r="FE4" s="23">
        <f>FF4+FG4+FH4+FI4</f>
        <v>-9611.2000000000007</v>
      </c>
      <c r="FF4" s="23">
        <f>BY4+DA4</f>
        <v>592.29999999999995</v>
      </c>
      <c r="FG4" s="23">
        <f>BZ4+DB4</f>
        <v>-17431</v>
      </c>
      <c r="FH4" s="23">
        <f>CA4+DC4</f>
        <v>220.5</v>
      </c>
      <c r="FI4" s="23">
        <f>CB4+DD4</f>
        <v>7007</v>
      </c>
      <c r="FJ4" s="21">
        <f>((1+EY4/(G4-H4+L4-M4+Q4-R4+AA4-AB4+AF4-AG4))/(1+BP4/100)-1)*100</f>
        <v>10.905955253902277</v>
      </c>
      <c r="FK4" s="21">
        <f>((1+EZ4/(G4-H4))/(1+BP4/100)-1)*100</f>
        <v>16.400075496104115</v>
      </c>
      <c r="FL4" s="21">
        <f>((1+FA4/(L4-M4))/(1+BP4/100)-1)*100</f>
        <v>-1.5486936796606399</v>
      </c>
      <c r="FM4" s="21">
        <f>((1+FB4/(Q4-R4))/(1+BP4/100)-1)*100</f>
        <v>14.118951026009064</v>
      </c>
      <c r="FN4" s="21">
        <f>((1+FC4/(AA4-AB4))/(1+BP4/100)-1)*100</f>
        <v>7.424520383803479</v>
      </c>
      <c r="FO4" s="21">
        <f>((1+FD4/(AF4-AG4))/(1+BP4/100)-1)*100</f>
        <v>16.262633802717353</v>
      </c>
      <c r="FP4" s="21">
        <f>((1+FE4/(AP4-AQ4+AU4-AV4+AZ4-BA4+BJ4-BK4))/(1+BP4/100)-1)*100</f>
        <v>-3.8529502342406041</v>
      </c>
      <c r="FQ4" s="21">
        <f>((1+FF4/(AP4-AQ4))/(1+BP4/100)-1)*100</f>
        <v>11.136705655618373</v>
      </c>
      <c r="FR4" s="21">
        <f>((1+FG4/(AU4-AV4))/(1+BP4/100)-1)*100</f>
        <v>-26.984509889401597</v>
      </c>
      <c r="FS4" s="21">
        <f>((1+FH4/(AZ4-BA4))/(1+BP4/100)-1)*100</f>
        <v>1.3889474821182635</v>
      </c>
      <c r="FT4" s="21">
        <f>((1+FI4/(BJ4-BK4))/(1+BP4/100)-1)*100</f>
        <v>7.8453480718245761</v>
      </c>
      <c r="FV4" s="21">
        <f>FJ4-FP4</f>
        <v>14.758905488142881</v>
      </c>
      <c r="FW4" s="21">
        <f>FK4-FQ4</f>
        <v>5.2633698404857423</v>
      </c>
      <c r="FX4" s="21">
        <f>FL4-FR4</f>
        <v>25.435816209740956</v>
      </c>
      <c r="FY4" s="21">
        <f>FM4-FS4</f>
        <v>12.730003543890801</v>
      </c>
      <c r="FZ4" s="21">
        <f>FN4-FT4</f>
        <v>-0.42082768802109705</v>
      </c>
      <c r="GB4" s="23">
        <f>GC4+GD4+GE4+GF4+GG4</f>
        <v>6349.5999999999995</v>
      </c>
      <c r="GC4" s="23">
        <f>CV4+DW4</f>
        <v>1255.7</v>
      </c>
      <c r="GD4" s="23">
        <f>CW4+DX4</f>
        <v>-3937</v>
      </c>
      <c r="GE4" s="23">
        <f>CX4+DY4</f>
        <v>5548.2</v>
      </c>
      <c r="GF4" s="23">
        <f>CY4+DZ4</f>
        <v>2710.7</v>
      </c>
      <c r="GG4" s="23">
        <f>EA4</f>
        <v>772</v>
      </c>
      <c r="GH4" s="23">
        <f>GI4+GJ4+GK4+GL4</f>
        <v>-17385.2</v>
      </c>
      <c r="GI4" s="23">
        <f>DA4+EC4</f>
        <v>592.29999999999995</v>
      </c>
      <c r="GJ4" s="23">
        <f>DB4+ED4</f>
        <v>-17431</v>
      </c>
      <c r="GK4" s="23">
        <f>DC4+EE4</f>
        <v>-700.5</v>
      </c>
      <c r="GL4" s="23">
        <f>DD4+EF4</f>
        <v>154</v>
      </c>
      <c r="GM4" s="21">
        <f>((GB4/(G4-H4+L4-M4+Q4-R4+AA4-AB4+AF4-AG4)+1)/(1+BP4/100)-1)*100</f>
        <v>2.687973741295524</v>
      </c>
      <c r="GN4" s="21">
        <f>((GC4/(G4-H4)+1)/(1+BP4/100)-1)*100</f>
        <v>4.7665905125597652</v>
      </c>
      <c r="GO4" s="21">
        <f>((GD4/(L4-M4)+1)/(1+BP4/100)-1)*100</f>
        <v>-12.361342246581152</v>
      </c>
      <c r="GP4" s="21">
        <f>((GE4/(Q4-R4)+1)/(1+BP4/100)-1)*100</f>
        <v>5.471526349043998</v>
      </c>
      <c r="GQ4" s="21">
        <f>((GF4/(AA4-AB4)+1)/(1+BP4/100)-1)*100</f>
        <v>3.1407022917258498</v>
      </c>
      <c r="GR4" s="21">
        <f>((GG4/(AF4-AG4)+1)/(1+BP4/100)-1)*100</f>
        <v>2.6861835890293451</v>
      </c>
      <c r="GS4" s="21">
        <f>((GH4/(AP4-AQ4+AU4-AV4+AZ4-BA4+BJ4-BK4)+1)/(1+BP4/100)-1)*100</f>
        <v>-7.6244729718432218</v>
      </c>
      <c r="GT4" s="21">
        <f>((GI4/(AP4-AQ4)+1)/(1+BP4/100)-1)*100</f>
        <v>11.136705655618373</v>
      </c>
      <c r="GU4" s="21">
        <f>((GJ4/(AU4-AV4)+1)/(1+BP4/100)-1)*100</f>
        <v>-26.984509889401597</v>
      </c>
      <c r="GV4" s="21">
        <f>((GK4/(AZ4-BA4)+1)/(1+BP4/100)-1)*100</f>
        <v>-1.0297333604908476</v>
      </c>
      <c r="GW4" s="21">
        <f>((GL4/(BJ4-BK4)+1)/(1+BP4/100)-1)*100</f>
        <v>0.9645078225324788</v>
      </c>
      <c r="GY4" s="21">
        <f>GM4-GS4</f>
        <v>10.312446713138746</v>
      </c>
      <c r="GZ4" s="21">
        <f>GN4-GT4</f>
        <v>-6.3701151430586078</v>
      </c>
      <c r="HA4" s="21">
        <f>GO4-GU4</f>
        <v>14.623167642820444</v>
      </c>
      <c r="HB4" s="21">
        <f>GP4-GV4</f>
        <v>6.5012597095348461</v>
      </c>
      <c r="HC4" s="21">
        <f>GQ4-GW4</f>
        <v>2.176194469193371</v>
      </c>
      <c r="HF4" s="44">
        <f>CX4/((Q4-R4)+(AF4-AG4))</f>
        <v>4.2030224204137247E-2</v>
      </c>
      <c r="HG4" s="44">
        <f>DC4/(AZ4-BA4)</f>
        <v>2.8955115012894991E-2</v>
      </c>
      <c r="HH4" s="44"/>
      <c r="HI4" s="44">
        <f t="shared" ref="HI4:HI15" si="11">((1+HF4)/(1+BP4/100)-1)*100</f>
        <v>5.0469441497675405</v>
      </c>
      <c r="HJ4" s="44">
        <f t="shared" ref="HJ4:HJ15" si="12">((1+HG4)/(1+BP4/100)-1)*100</f>
        <v>3.7288439324599798</v>
      </c>
      <c r="HK4" s="44"/>
      <c r="HL4" s="44">
        <f>HI4-HJ4</f>
        <v>1.3181002173075607</v>
      </c>
      <c r="HN4" s="9">
        <v>0</v>
      </c>
      <c r="HP4" s="57"/>
    </row>
    <row r="5" spans="1:224" s="9" customFormat="1" ht="15">
      <c r="A5" s="11">
        <v>2002</v>
      </c>
      <c r="B5" s="59">
        <v>365940</v>
      </c>
      <c r="C5" s="59">
        <v>-13841</v>
      </c>
      <c r="D5" s="59">
        <v>15631</v>
      </c>
      <c r="E5" s="59">
        <v>-15818</v>
      </c>
      <c r="F5" s="59">
        <v>-13653</v>
      </c>
      <c r="G5" s="59">
        <v>36478</v>
      </c>
      <c r="H5" s="59">
        <v>-3077</v>
      </c>
      <c r="I5" s="59">
        <v>4048</v>
      </c>
      <c r="J5" s="59">
        <v>-1951</v>
      </c>
      <c r="K5" s="59">
        <v>-5174</v>
      </c>
      <c r="L5" s="59">
        <v>25277</v>
      </c>
      <c r="M5" s="59">
        <v>-4688</v>
      </c>
      <c r="N5" s="59">
        <v>4736</v>
      </c>
      <c r="O5" s="59">
        <v>-1220</v>
      </c>
      <c r="P5" s="59">
        <v>-8203</v>
      </c>
      <c r="Q5" s="60">
        <v>141926</v>
      </c>
      <c r="R5" s="60">
        <v>1901</v>
      </c>
      <c r="S5" s="60">
        <v>8595</v>
      </c>
      <c r="T5" s="60">
        <v>-4719</v>
      </c>
      <c r="U5" s="60">
        <v>-1975</v>
      </c>
      <c r="V5" s="60">
        <v>404</v>
      </c>
      <c r="W5" s="60">
        <v>8</v>
      </c>
      <c r="X5" s="60">
        <v>1376</v>
      </c>
      <c r="Y5" s="60">
        <v>-2</v>
      </c>
      <c r="Z5" s="60">
        <v>-1365</v>
      </c>
      <c r="AA5" s="60">
        <v>105792</v>
      </c>
      <c r="AB5" s="60">
        <v>-11276</v>
      </c>
      <c r="AC5" s="60">
        <v>-8920</v>
      </c>
      <c r="AD5" s="60">
        <v>-4093</v>
      </c>
      <c r="AE5" s="60">
        <v>1737</v>
      </c>
      <c r="AF5" s="60">
        <v>56063</v>
      </c>
      <c r="AG5" s="60">
        <v>3291</v>
      </c>
      <c r="AH5" s="60">
        <v>5797</v>
      </c>
      <c r="AI5" s="60">
        <v>-3834</v>
      </c>
      <c r="AJ5" s="60">
        <v>1328</v>
      </c>
      <c r="AK5" s="60">
        <v>190631</v>
      </c>
      <c r="AL5" s="60">
        <v>-9893</v>
      </c>
      <c r="AM5" s="60">
        <v>1184</v>
      </c>
      <c r="AN5" s="60">
        <v>-5305</v>
      </c>
      <c r="AO5" s="60">
        <v>-5771</v>
      </c>
      <c r="AP5" s="60">
        <v>9369</v>
      </c>
      <c r="AQ5" s="60">
        <v>2737</v>
      </c>
      <c r="AR5" s="60">
        <v>1159</v>
      </c>
      <c r="AS5" s="60">
        <v>0</v>
      </c>
      <c r="AT5" s="60">
        <v>1579</v>
      </c>
      <c r="AU5" s="60">
        <v>40757</v>
      </c>
      <c r="AV5" s="60">
        <v>-8806</v>
      </c>
      <c r="AW5" s="60">
        <v>-1877</v>
      </c>
      <c r="AX5" s="60">
        <v>0</v>
      </c>
      <c r="AY5" s="60">
        <v>-6929</v>
      </c>
      <c r="AZ5" s="60">
        <v>32432</v>
      </c>
      <c r="BA5" s="60">
        <v>-5757</v>
      </c>
      <c r="BB5" s="60">
        <v>-3369</v>
      </c>
      <c r="BC5" s="60">
        <v>-195</v>
      </c>
      <c r="BD5" s="60">
        <v>-2194</v>
      </c>
      <c r="BE5" s="60">
        <v>445</v>
      </c>
      <c r="BF5" s="60">
        <v>-23</v>
      </c>
      <c r="BG5" s="60">
        <v>1465</v>
      </c>
      <c r="BH5" s="60">
        <v>0</v>
      </c>
      <c r="BI5" s="60">
        <v>-1487</v>
      </c>
      <c r="BJ5" s="60">
        <v>107628</v>
      </c>
      <c r="BK5" s="60">
        <v>1955</v>
      </c>
      <c r="BL5" s="60">
        <v>3806</v>
      </c>
      <c r="BM5" s="60">
        <v>-5111</v>
      </c>
      <c r="BN5" s="60">
        <v>3260</v>
      </c>
      <c r="BP5" s="54">
        <f>yield!M10</f>
        <v>-0.89967826042920995</v>
      </c>
      <c r="BR5" s="11">
        <f t="shared" ref="BR5:BR16" si="13">BS5+BT5+BU5+BV5+BW5</f>
        <v>-28105</v>
      </c>
      <c r="BS5" s="11">
        <f t="shared" ref="BS5:BS16" si="14">H5-I5</f>
        <v>-7125</v>
      </c>
      <c r="BT5" s="11">
        <f t="shared" ref="BT5:BT16" si="15">M5-N5</f>
        <v>-9424</v>
      </c>
      <c r="BU5" s="11">
        <f t="shared" ref="BU5:BU16" si="16">R5-S5</f>
        <v>-6694</v>
      </c>
      <c r="BV5" s="11">
        <f t="shared" ref="BV5:BV16" si="17">AB5-AC5</f>
        <v>-2356</v>
      </c>
      <c r="BW5" s="11">
        <f t="shared" ref="BW5:BW16" si="18">AG5-AH5</f>
        <v>-2506</v>
      </c>
      <c r="BX5" s="11">
        <f t="shared" ref="BX5:BX16" si="19">BY5+BZ5+CA5+CB5</f>
        <v>-9590</v>
      </c>
      <c r="BY5" s="11">
        <f t="shared" ref="BY5:BY16" si="20">AQ5-AR5</f>
        <v>1578</v>
      </c>
      <c r="BZ5" s="11">
        <f t="shared" ref="BZ5:BZ16" si="21">AV5-AW5</f>
        <v>-6929</v>
      </c>
      <c r="CA5" s="11">
        <f t="shared" ref="CA5:CA16" si="22">BA5-BB5</f>
        <v>-2388</v>
      </c>
      <c r="CB5" s="11">
        <f t="shared" ref="CB5:CB16" si="23">BK5-BL5</f>
        <v>-1851</v>
      </c>
      <c r="CC5" s="21">
        <f t="shared" ref="CC5:CC15" si="24">((1+BR5/(G5-H5+L5-M5+Q5-R5+AA5-AB5+AF5-AG5))/(1+BP5/100)-1)*100</f>
        <v>-6.5674496187049902</v>
      </c>
      <c r="CD5" s="21">
        <f t="shared" ref="CD5:CD16" si="25">((1+BS5/(G5-H5))/(1+BP5/100)-1)*100</f>
        <v>-17.268576810535286</v>
      </c>
      <c r="CE5" s="21">
        <f t="shared" ref="CE5:CE16" si="26">((1+BT5/(L5-M5))/(1+BP5/100)-1)*100</f>
        <v>-30.827696855572118</v>
      </c>
      <c r="CF5" s="21">
        <f t="shared" ref="CF5:CF16" si="27">((1+BU5/(Q5-R5))/(1+BP5/100)-1)*100</f>
        <v>-3.9161291999730286</v>
      </c>
      <c r="CG5" s="21">
        <f t="shared" ref="CG5:CG15" si="28">((1+BV5/(AA5-AB5))/(1+BP5/100)-1)*100</f>
        <v>-1.1229300494339234</v>
      </c>
      <c r="CH5" s="21">
        <f t="shared" ref="CH5:CH16" si="29">((1+BW5/(AF5-AG5))/(1+BP5/100)-1)*100</f>
        <v>-3.8839955908644419</v>
      </c>
      <c r="CI5" s="21">
        <f t="shared" ref="CI5:CI14" si="30">((1+BX5/(AP5-AQ5+AU5-AV5+AZ5-BA5+BJ5-BK5))/(1+BP5/100)-1)*100</f>
        <v>-3.9293066718458891</v>
      </c>
      <c r="CJ5" s="21">
        <f t="shared" ref="CJ5:CJ16" si="31">((1+BY5/(AP5-AQ5))/(1+BP5/100)-1)*100</f>
        <v>24.917583726630355</v>
      </c>
      <c r="CK5" s="21">
        <f t="shared" ref="CK5:CK16" si="32">((1+BZ5/(AU5-AV5))/(1+BP5/100)-1)*100</f>
        <v>-13.19925944021174</v>
      </c>
      <c r="CL5" s="21">
        <f t="shared" ref="CL5:CL16" si="33">((1+CA5/(AZ5-BA5))/(1+BP5/100)-1)*100</f>
        <v>-5.4020321829007845</v>
      </c>
      <c r="CM5" s="21">
        <f t="shared" ref="CM5:CM16" si="34">((1+CB5/(BJ5-BK5))/(1+BP5/100)-1)*100</f>
        <v>-0.85968617770360023</v>
      </c>
      <c r="CN5" s="57"/>
      <c r="CO5" s="21">
        <f t="shared" ref="CO5:CO15" si="35">CC5-CI5</f>
        <v>-2.6381429468591011</v>
      </c>
      <c r="CP5" s="21">
        <f t="shared" ref="CP5:CP15" si="36">CD5-CJ5</f>
        <v>-42.186160537165641</v>
      </c>
      <c r="CQ5" s="21">
        <f t="shared" ref="CQ5:CQ15" si="37">CE5-CK5</f>
        <v>-17.628437415360377</v>
      </c>
      <c r="CR5" s="21">
        <f t="shared" ref="CR5:CR15" si="38">CF5-CL5</f>
        <v>1.4859029829277559</v>
      </c>
      <c r="CS5" s="21">
        <f t="shared" ref="CS5:CS15" si="39">CG5-CM5</f>
        <v>-0.26324387173032315</v>
      </c>
      <c r="CU5" s="23">
        <f>Balance_on_income!B10</f>
        <v>11462.800000000001</v>
      </c>
      <c r="CV5" s="23">
        <f>Balance_on_income!C10</f>
        <v>2107</v>
      </c>
      <c r="CW5" s="23">
        <f>Balance_on_income!D10</f>
        <v>1066.4000000000001</v>
      </c>
      <c r="CX5" s="23">
        <f>Balance_on_income!E10</f>
        <v>6509.7</v>
      </c>
      <c r="CY5" s="23">
        <f>Balance_on_income!F10</f>
        <v>1779.7</v>
      </c>
      <c r="CZ5" s="23">
        <f>Balance_on_income!G10</f>
        <v>3185.6</v>
      </c>
      <c r="DA5" s="23">
        <f>Balance_on_income!H10</f>
        <v>663</v>
      </c>
      <c r="DB5" s="23">
        <f>Balance_on_income!I10</f>
        <v>310.5</v>
      </c>
      <c r="DC5" s="23">
        <f>Balance_on_income!J10</f>
        <v>920.1</v>
      </c>
      <c r="DD5" s="23">
        <f>Balance_on_income!K10</f>
        <v>1292</v>
      </c>
      <c r="DE5" s="21">
        <f t="shared" ref="DE5:DE15" si="40">((1+CU5/(G5-H5+L5-M5+Q5-R5+AA5-AB5+AF5-AG5))/(1+BP5/100)-1)*100</f>
        <v>3.9566919976039339</v>
      </c>
      <c r="DF5" s="21">
        <f t="shared" ref="DF5:DF15" si="41">((1+CV5/(G5-H5))/(1+BP5/100)-1)*100</f>
        <v>6.2829649373875807</v>
      </c>
      <c r="DG5" s="21">
        <f t="shared" ref="DG5:DG15" si="42">((1+CW5/(L5-M5))/(1+BP5/100)-1)*100</f>
        <v>4.4989731656686294</v>
      </c>
      <c r="DH5" s="21">
        <f t="shared" ref="DH5:DH15" si="43">((1+CX5/(Q5-R5))/(1+BP5/100)-1)*100</f>
        <v>5.5990068515252567</v>
      </c>
      <c r="DI5" s="21">
        <f t="shared" ref="DI5:DI15" si="44">((1+CY5/(AA5-AB5))/(1+BP5/100)-1)*100</f>
        <v>2.4418748375400146</v>
      </c>
      <c r="DJ5" s="21">
        <f t="shared" ref="DJ5:DJ15" si="45">((1+CZ5/(AP5-AQ5+AU5-AV5+AZ5-BA5+BJ5-BK5))/(1+BP5/100)-1)*100</f>
        <v>2.5146481848125735</v>
      </c>
      <c r="DK5" s="21">
        <f t="shared" ref="DK5:DK15" si="46">((1+DA5/(AP5-AQ5))/(1+BP5/100)-1)*100</f>
        <v>10.995587489131363</v>
      </c>
      <c r="DL5" s="21">
        <f t="shared" ref="DL5:DL15" si="47">((1+DB5/(AU5-AV5))/(1+BP5/100)-1)*100</f>
        <v>1.5400087795796713</v>
      </c>
      <c r="DM5" s="21">
        <f t="shared" ref="DM5:DM15" si="48">((1+DC5/(AZ5-BA5))/(1+BP5/100)-1)*100</f>
        <v>3.3390515112905916</v>
      </c>
      <c r="DN5" s="21">
        <f t="shared" ref="DN5:DN15" si="49">((1+DD5/(BJ5-BK5))/(1+BP5/100)-1)*100</f>
        <v>2.1415852902268773</v>
      </c>
      <c r="DP5" s="21">
        <f t="shared" ref="DP5:DP15" si="50">DE5-DJ5</f>
        <v>1.4420438127913604</v>
      </c>
      <c r="DQ5" s="21">
        <f t="shared" ref="DQ5:DQ15" si="51">DF5-DK5</f>
        <v>-4.7126225517437828</v>
      </c>
      <c r="DR5" s="21">
        <f t="shared" ref="DR5:DR15" si="52">DG5-DL5</f>
        <v>2.9589643860889581</v>
      </c>
      <c r="DS5" s="21">
        <f t="shared" ref="DS5:DS15" si="53">DH5-DM5</f>
        <v>2.259955340234665</v>
      </c>
      <c r="DT5" s="21">
        <f t="shared" ref="DT5:DT15" si="54">DI5-DN5</f>
        <v>0.30028954731313728</v>
      </c>
      <c r="DU5" s="21"/>
      <c r="DV5" s="11">
        <f t="shared" ref="DV5:DV16" si="55">DW5+DX5+DY5+DZ5+EA5</f>
        <v>-12288</v>
      </c>
      <c r="DW5" s="11">
        <f t="shared" ref="DW5:DW16" si="56">H5-I5-J5</f>
        <v>-5174</v>
      </c>
      <c r="DX5" s="11">
        <f t="shared" ref="DX5:DX16" si="57">M5-N5-O5</f>
        <v>-8204</v>
      </c>
      <c r="DY5" s="11">
        <f t="shared" ref="DY5:DY16" si="58">R5-S5-T5</f>
        <v>-1975</v>
      </c>
      <c r="DZ5" s="11">
        <f t="shared" ref="DZ5:DZ16" si="59">AB5-AC5-AD5</f>
        <v>1737</v>
      </c>
      <c r="EA5" s="11">
        <f t="shared" ref="EA5:EA16" si="60">AG5-AH5-AI5</f>
        <v>1328</v>
      </c>
      <c r="EB5" s="11">
        <f t="shared" ref="EB5:EB16" si="61">EC5+ED5+EE5+EF5</f>
        <v>-4284</v>
      </c>
      <c r="EC5" s="11">
        <f t="shared" ref="EC5:EC16" si="62">AQ5-AR5-AS5</f>
        <v>1578</v>
      </c>
      <c r="ED5" s="11">
        <f t="shared" ref="ED5:ED16" si="63">AV5-AW5-AX5</f>
        <v>-6929</v>
      </c>
      <c r="EE5" s="11">
        <f t="shared" ref="EE5:EE16" si="64">BA5-BB5-BC5</f>
        <v>-2193</v>
      </c>
      <c r="EF5" s="11">
        <f t="shared" ref="EF5:EF16" si="65">BK5-BL5-BM5</f>
        <v>3260</v>
      </c>
      <c r="EG5" s="21">
        <f t="shared" si="0"/>
        <v>-2.3604846637376053</v>
      </c>
      <c r="EH5" s="21">
        <f t="shared" si="1"/>
        <v>-12.291425819396052</v>
      </c>
      <c r="EI5" s="21">
        <f t="shared" si="2"/>
        <v>-26.71931801149432</v>
      </c>
      <c r="EJ5" s="21">
        <f t="shared" si="3"/>
        <v>-0.51542129029464867</v>
      </c>
      <c r="EK5" s="21">
        <f t="shared" si="4"/>
        <v>2.405069177392094</v>
      </c>
      <c r="EL5" s="21">
        <f t="shared" si="5"/>
        <v>3.447177784869182</v>
      </c>
      <c r="EM5" s="21">
        <f t="shared" si="6"/>
        <v>-1.252984270594304</v>
      </c>
      <c r="EN5" s="21">
        <f t="shared" si="7"/>
        <v>24.917583726630355</v>
      </c>
      <c r="EO5" s="21">
        <f t="shared" si="8"/>
        <v>-13.19925944021174</v>
      </c>
      <c r="EP5" s="21">
        <f t="shared" si="9"/>
        <v>-4.8867783150106536</v>
      </c>
      <c r="EQ5" s="21">
        <f t="shared" si="10"/>
        <v>4.0208414941362625</v>
      </c>
      <c r="ES5" s="21">
        <f t="shared" ref="ES5:ES15" si="66">EG5-EM5</f>
        <v>-1.1075003931433014</v>
      </c>
      <c r="ET5" s="21">
        <f t="shared" ref="ET5:ET15" si="67">EH5-EN5</f>
        <v>-37.209009546026408</v>
      </c>
      <c r="EU5" s="21">
        <f t="shared" ref="EU5:EU15" si="68">EI5-EO5</f>
        <v>-13.520058571282579</v>
      </c>
      <c r="EV5" s="21">
        <f t="shared" ref="EV5:EV15" si="69">EJ5-EP5</f>
        <v>4.371357024716005</v>
      </c>
      <c r="EW5" s="21">
        <f t="shared" ref="EW5:EW15" si="70">EK5-EQ5</f>
        <v>-1.6157723167441684</v>
      </c>
      <c r="EX5" s="21"/>
      <c r="EY5" s="23">
        <f t="shared" ref="EY5:EY15" si="71">EZ5+FA5+FB5+FC5+FD5</f>
        <v>-16642.2</v>
      </c>
      <c r="EZ5" s="23">
        <f t="shared" ref="EZ5:EZ15" si="72">BS5+CV5</f>
        <v>-5018</v>
      </c>
      <c r="FA5" s="23">
        <f t="shared" ref="FA5:FA15" si="73">BT5+CW5</f>
        <v>-8357.6</v>
      </c>
      <c r="FB5" s="23">
        <f t="shared" ref="FB5:FB15" si="74">BU5+CX5</f>
        <v>-184.30000000000018</v>
      </c>
      <c r="FC5" s="23">
        <f t="shared" ref="FC5:FC15" si="75">BV5+CY5</f>
        <v>-576.29999999999995</v>
      </c>
      <c r="FD5" s="23">
        <f t="shared" ref="FD5:FD15" si="76">BW5</f>
        <v>-2506</v>
      </c>
      <c r="FE5" s="23">
        <f t="shared" ref="FE5:FE15" si="77">FF5+FG5+FH5+FI5</f>
        <v>-6404.4</v>
      </c>
      <c r="FF5" s="23">
        <f t="shared" ref="FF5:FF15" si="78">BY5+DA5</f>
        <v>2241</v>
      </c>
      <c r="FG5" s="23">
        <f t="shared" ref="FG5:FG15" si="79">BZ5+DB5</f>
        <v>-6618.5</v>
      </c>
      <c r="FH5" s="23">
        <f t="shared" ref="FH5:FH15" si="80">CA5+DC5</f>
        <v>-1467.9</v>
      </c>
      <c r="FI5" s="23">
        <f t="shared" ref="FI5:FI15" si="81">CB5+DD5</f>
        <v>-559</v>
      </c>
      <c r="FJ5" s="21">
        <f t="shared" ref="FJ5:FJ15" si="82">((1+EY5/(G5-H5+L5-M5+Q5-R5+AA5-AB5+AF5-AG5))/(1+BP5/100)-1)*100</f>
        <v>-3.5186035742085564</v>
      </c>
      <c r="FK5" s="21">
        <f t="shared" ref="FK5:FK15" si="83">((1+EZ5/(G5-H5))/(1+BP5/100)-1)*100</f>
        <v>-11.893457826255238</v>
      </c>
      <c r="FL5" s="21">
        <f t="shared" ref="FL5:FL15" si="84">((1+FA5/(L5-M5))/(1+BP5/100)-1)*100</f>
        <v>-27.236569643011009</v>
      </c>
      <c r="FM5" s="21">
        <f t="shared" ref="FM5:FM15" si="85">((1+FB5/(Q5-R5))/(1+BP5/100)-1)*100</f>
        <v>0.77503169844472808</v>
      </c>
      <c r="FN5" s="21">
        <f t="shared" ref="FN5:FN15" si="86">((1+FC5/(AA5-AB5))/(1+BP5/100)-1)*100</f>
        <v>0.41109883499859112</v>
      </c>
      <c r="FO5" s="21">
        <f t="shared" ref="FO5:FO15" si="87">((1+FD5/(AF5-AG5))/(1+BP5/100)-1)*100</f>
        <v>-3.8839955908644419</v>
      </c>
      <c r="FP5" s="21">
        <f t="shared" ref="FP5:FP15" si="88">((1+FE5/(AP5-AQ5+AU5-AV5+AZ5-BA5+BJ5-BK5))/(1+BP5/100)-1)*100</f>
        <v>-2.3225044401408157</v>
      </c>
      <c r="FQ5" s="21">
        <f t="shared" ref="FQ5:FQ15" si="89">((1+FF5/(AP5-AQ5))/(1+BP5/100)-1)*100</f>
        <v>35.005325262654232</v>
      </c>
      <c r="FR5" s="21">
        <f t="shared" ref="FR5:FR15" si="90">((1+FG5/(AU5-AV5))/(1+BP5/100)-1)*100</f>
        <v>-12.567096613739581</v>
      </c>
      <c r="FS5" s="21">
        <f t="shared" ref="FS5:FS15" si="91">((1+FH5/(AZ5-BA5))/(1+BP5/100)-1)*100</f>
        <v>-2.9708266247176929</v>
      </c>
      <c r="FT5" s="21">
        <f t="shared" ref="FT5:FT15" si="92">((1+FI5/(BJ5-BK5))/(1+BP5/100)-1)*100</f>
        <v>0.37405315941576589</v>
      </c>
      <c r="FV5" s="21">
        <f t="shared" ref="FV5:FV15" si="93">FJ5-FP5</f>
        <v>-1.1960991340677407</v>
      </c>
      <c r="FW5" s="21">
        <f t="shared" ref="FW5:FW15" si="94">FK5-FQ5</f>
        <v>-46.898783088909468</v>
      </c>
      <c r="FX5" s="21">
        <f t="shared" ref="FX5:FX15" si="95">FL5-FR5</f>
        <v>-14.669473029271428</v>
      </c>
      <c r="FY5" s="21">
        <f t="shared" ref="FY5:FY15" si="96">FM5-FS5</f>
        <v>3.745858323162421</v>
      </c>
      <c r="FZ5" s="21">
        <f t="shared" ref="FZ5:FZ15" si="97">FN5-FT5</f>
        <v>3.7045675582825233E-2</v>
      </c>
      <c r="GB5" s="23">
        <f t="shared" ref="GB5:GB15" si="98">GC5+GD5+GE5+GF5+GG5</f>
        <v>-825.20000000000073</v>
      </c>
      <c r="GC5" s="23">
        <f t="shared" ref="GC5:GC15" si="99">CV5+DW5</f>
        <v>-3067</v>
      </c>
      <c r="GD5" s="23">
        <f t="shared" ref="GD5:GD15" si="100">CW5+DX5</f>
        <v>-7137.6</v>
      </c>
      <c r="GE5" s="23">
        <f t="shared" ref="GE5:GE15" si="101">CX5+DY5</f>
        <v>4534.7</v>
      </c>
      <c r="GF5" s="23">
        <f t="shared" ref="GF5:GF15" si="102">CY5+DZ5</f>
        <v>3516.7</v>
      </c>
      <c r="GG5" s="23">
        <f t="shared" ref="GG5:GG15" si="103">EA5</f>
        <v>1328</v>
      </c>
      <c r="GH5" s="23">
        <f t="shared" ref="GH5:GH15" si="104">GI5+GJ5+GK5+GL5</f>
        <v>-1098.3999999999996</v>
      </c>
      <c r="GI5" s="23">
        <f t="shared" ref="GI5:GI15" si="105">DA5+EC5</f>
        <v>2241</v>
      </c>
      <c r="GJ5" s="23">
        <f t="shared" ref="GJ5:GJ15" si="106">DB5+ED5</f>
        <v>-6618.5</v>
      </c>
      <c r="GK5" s="23">
        <f t="shared" ref="GK5:GK15" si="107">DC5+EE5</f>
        <v>-1272.9000000000001</v>
      </c>
      <c r="GL5" s="23">
        <f t="shared" ref="GL5:GL15" si="108">DD5+EF5</f>
        <v>4552</v>
      </c>
      <c r="GM5" s="21">
        <f t="shared" ref="GM5:GM15" si="109">((GB5/(G5-H5+L5-M5+Q5-R5+AA5-AB5+AF5-AG5)+1)/(1+BP5/100)-1)*100</f>
        <v>0.68836138075882847</v>
      </c>
      <c r="GN5" s="21">
        <f t="shared" ref="GN5:GN15" si="110">((GC5/(G5-H5)+1)/(1+BP5/100)-1)*100</f>
        <v>-6.9163068351159929</v>
      </c>
      <c r="GO5" s="21">
        <f t="shared" ref="GO5:GO15" si="111">((GD5/(L5-M5)+1)/(1+BP5/100)-1)*100</f>
        <v>-23.128190798933211</v>
      </c>
      <c r="GP5" s="21">
        <f t="shared" ref="GP5:GP15" si="112">((GE5/(Q5-R5)+1)/(1+BP5/100)-1)*100</f>
        <v>4.1757396081230969</v>
      </c>
      <c r="GQ5" s="21">
        <f t="shared" ref="GQ5:GQ15" si="113">((GF5/(AA5-AB5)+1)/(1+BP5/100)-1)*100</f>
        <v>3.9390980618246196</v>
      </c>
      <c r="GR5" s="21">
        <f t="shared" ref="GR5:GR15" si="114">((GG5/(AF5-AG5)+1)/(1+BP5/100)-1)*100</f>
        <v>3.447177784869182</v>
      </c>
      <c r="GS5" s="21">
        <f t="shared" ref="GS5:GS15" si="115">((GH5/(AP5-AQ5+AU5-AV5+AZ5-BA5+BJ5-BK5)+1)/(1+BP5/100)-1)*100</f>
        <v>0.35381796111075836</v>
      </c>
      <c r="GT5" s="21">
        <f t="shared" ref="GT5:GT15" si="116">((GI5/(AP5-AQ5)+1)/(1+BP5/100)-1)*100</f>
        <v>35.005325262654232</v>
      </c>
      <c r="GU5" s="21">
        <f t="shared" ref="GU5:GU15" si="117">((GJ5/(AU5-AV5)+1)/(1+BP5/100)-1)*100</f>
        <v>-12.567096613739581</v>
      </c>
      <c r="GV5" s="21">
        <f t="shared" ref="GV5:GV15" si="118">((GK5/(AZ5-BA5)+1)/(1+BP5/100)-1)*100</f>
        <v>-2.455572756827562</v>
      </c>
      <c r="GW5" s="21">
        <f t="shared" ref="GW5:GW15" si="119">((GL5/(BJ5-BK5)+1)/(1+BP5/100)-1)*100</f>
        <v>5.2545808312556064</v>
      </c>
      <c r="GY5" s="21">
        <f t="shared" ref="GY5:GY15" si="120">GM5-GS5</f>
        <v>0.33454341964807011</v>
      </c>
      <c r="GZ5" s="21">
        <f t="shared" ref="GZ5:GZ15" si="121">GN5-GT5</f>
        <v>-41.921632097770228</v>
      </c>
      <c r="HA5" s="21">
        <f t="shared" ref="HA5:HA15" si="122">GO5-GU5</f>
        <v>-10.56109418519363</v>
      </c>
      <c r="HB5" s="21">
        <f t="shared" ref="HB5:HB15" si="123">GP5-GV5</f>
        <v>6.6313123649506593</v>
      </c>
      <c r="HC5" s="21">
        <f t="shared" ref="HC5:HC15" si="124">GQ5-GW5</f>
        <v>-1.3154827694309867</v>
      </c>
      <c r="HF5" s="44">
        <f t="shared" ref="HF5:HF15" si="125">CX5/((Q5-R5)+(AF5-AG5))</f>
        <v>3.3764529531061169E-2</v>
      </c>
      <c r="HG5" s="44">
        <f t="shared" ref="HG5:HG15" si="126">DC5/(AZ5-BA5)</f>
        <v>2.4093325303097751E-2</v>
      </c>
      <c r="HH5" s="44"/>
      <c r="HI5" s="44">
        <f t="shared" si="11"/>
        <v>4.3149518977069645</v>
      </c>
      <c r="HJ5" s="44">
        <f t="shared" si="12"/>
        <v>3.3390515112905916</v>
      </c>
      <c r="HK5" s="44"/>
      <c r="HL5" s="44">
        <f t="shared" ref="HL5:HL16" si="127">HI5-HJ5</f>
        <v>0.97590038641637289</v>
      </c>
      <c r="HN5" s="9">
        <v>0</v>
      </c>
      <c r="HP5" s="57"/>
    </row>
    <row r="6" spans="1:224" s="9" customFormat="1" ht="15">
      <c r="A6" s="11">
        <v>2003</v>
      </c>
      <c r="B6" s="59">
        <v>385538</v>
      </c>
      <c r="C6" s="59">
        <v>19598</v>
      </c>
      <c r="D6" s="59">
        <v>30460</v>
      </c>
      <c r="E6" s="59">
        <v>-16554</v>
      </c>
      <c r="F6" s="59">
        <v>5692</v>
      </c>
      <c r="G6" s="59">
        <v>35932</v>
      </c>
      <c r="H6" s="59">
        <v>-545</v>
      </c>
      <c r="I6" s="59">
        <v>3339</v>
      </c>
      <c r="J6" s="59">
        <v>-1701</v>
      </c>
      <c r="K6" s="59">
        <v>-2183</v>
      </c>
      <c r="L6" s="59">
        <v>29394</v>
      </c>
      <c r="M6" s="59">
        <v>4117</v>
      </c>
      <c r="N6" s="59">
        <v>687</v>
      </c>
      <c r="O6" s="59">
        <v>-1629</v>
      </c>
      <c r="P6" s="59">
        <v>5060</v>
      </c>
      <c r="Q6" s="60">
        <v>154959</v>
      </c>
      <c r="R6" s="60">
        <v>13033</v>
      </c>
      <c r="S6" s="60">
        <v>17710</v>
      </c>
      <c r="T6" s="60">
        <v>-4054</v>
      </c>
      <c r="U6" s="60">
        <v>-623</v>
      </c>
      <c r="V6" s="60">
        <v>524</v>
      </c>
      <c r="W6" s="60">
        <v>121</v>
      </c>
      <c r="X6" s="60">
        <v>1727</v>
      </c>
      <c r="Y6" s="60">
        <v>-2</v>
      </c>
      <c r="Z6" s="60">
        <v>-1605</v>
      </c>
      <c r="AA6" s="60">
        <v>92645</v>
      </c>
      <c r="AB6" s="60">
        <v>-13148</v>
      </c>
      <c r="AC6" s="60">
        <v>-14531</v>
      </c>
      <c r="AD6" s="60">
        <v>-3049</v>
      </c>
      <c r="AE6" s="60">
        <v>4433</v>
      </c>
      <c r="AF6" s="60">
        <v>72083</v>
      </c>
      <c r="AG6" s="60">
        <v>16020</v>
      </c>
      <c r="AH6" s="60">
        <v>21529</v>
      </c>
      <c r="AI6" s="60">
        <v>-6119</v>
      </c>
      <c r="AJ6" s="60">
        <v>611</v>
      </c>
      <c r="AK6" s="60">
        <v>212720</v>
      </c>
      <c r="AL6" s="60">
        <v>22089</v>
      </c>
      <c r="AM6" s="60">
        <v>16731</v>
      </c>
      <c r="AN6" s="60">
        <v>-6213</v>
      </c>
      <c r="AO6" s="60">
        <v>11570</v>
      </c>
      <c r="AP6" s="60">
        <v>9610</v>
      </c>
      <c r="AQ6" s="60">
        <v>241</v>
      </c>
      <c r="AR6" s="60">
        <v>733</v>
      </c>
      <c r="AS6" s="60">
        <v>0</v>
      </c>
      <c r="AT6" s="60">
        <v>-493</v>
      </c>
      <c r="AU6" s="60">
        <v>60085</v>
      </c>
      <c r="AV6" s="60">
        <v>19328</v>
      </c>
      <c r="AW6" s="60">
        <v>9839</v>
      </c>
      <c r="AX6" s="60">
        <v>0</v>
      </c>
      <c r="AY6" s="60">
        <v>9489</v>
      </c>
      <c r="AZ6" s="60">
        <v>32788</v>
      </c>
      <c r="BA6" s="60">
        <v>356</v>
      </c>
      <c r="BB6" s="60">
        <v>-306</v>
      </c>
      <c r="BC6" s="60">
        <v>-209</v>
      </c>
      <c r="BD6" s="60">
        <v>871</v>
      </c>
      <c r="BE6" s="60">
        <v>727</v>
      </c>
      <c r="BF6" s="60">
        <v>282</v>
      </c>
      <c r="BG6" s="60">
        <v>1990</v>
      </c>
      <c r="BH6" s="60">
        <v>0</v>
      </c>
      <c r="BI6" s="60">
        <v>-1707</v>
      </c>
      <c r="BJ6" s="60">
        <v>109510</v>
      </c>
      <c r="BK6" s="60">
        <v>1881</v>
      </c>
      <c r="BL6" s="60">
        <v>4475</v>
      </c>
      <c r="BM6" s="60">
        <v>-6004</v>
      </c>
      <c r="BN6" s="60">
        <v>3410</v>
      </c>
      <c r="BP6" s="54">
        <f>yield!M11</f>
        <v>-0.247839455387176</v>
      </c>
      <c r="BR6" s="11">
        <f t="shared" si="13"/>
        <v>-9257</v>
      </c>
      <c r="BS6" s="11">
        <f t="shared" si="14"/>
        <v>-3884</v>
      </c>
      <c r="BT6" s="11">
        <f t="shared" si="15"/>
        <v>3430</v>
      </c>
      <c r="BU6" s="11">
        <f t="shared" si="16"/>
        <v>-4677</v>
      </c>
      <c r="BV6" s="11">
        <f t="shared" si="17"/>
        <v>1383</v>
      </c>
      <c r="BW6" s="11">
        <f t="shared" si="18"/>
        <v>-5509</v>
      </c>
      <c r="BX6" s="11">
        <f t="shared" si="19"/>
        <v>7065</v>
      </c>
      <c r="BY6" s="11">
        <f t="shared" si="20"/>
        <v>-492</v>
      </c>
      <c r="BZ6" s="11">
        <f t="shared" si="21"/>
        <v>9489</v>
      </c>
      <c r="CA6" s="11">
        <f t="shared" si="22"/>
        <v>662</v>
      </c>
      <c r="CB6" s="11">
        <f t="shared" si="23"/>
        <v>-2594</v>
      </c>
      <c r="CC6" s="21">
        <f t="shared" si="24"/>
        <v>-2.2902822724071181</v>
      </c>
      <c r="CD6" s="21">
        <f t="shared" si="25"/>
        <v>-10.425805270072209</v>
      </c>
      <c r="CE6" s="21">
        <f t="shared" si="26"/>
        <v>13.851818022606288</v>
      </c>
      <c r="CF6" s="21">
        <f t="shared" si="27"/>
        <v>-3.0551115987216937</v>
      </c>
      <c r="CG6" s="21">
        <f t="shared" si="28"/>
        <v>1.5589730629098408</v>
      </c>
      <c r="CH6" s="21">
        <f t="shared" si="29"/>
        <v>-9.6024043403287411</v>
      </c>
      <c r="CI6" s="21">
        <f t="shared" si="30"/>
        <v>3.9724496949496757</v>
      </c>
      <c r="CJ6" s="21">
        <f t="shared" si="31"/>
        <v>-5.0159529259844682</v>
      </c>
      <c r="CK6" s="21">
        <f t="shared" si="32"/>
        <v>23.588190525767526</v>
      </c>
      <c r="CL6" s="21">
        <f t="shared" si="33"/>
        <v>2.2947205609131105</v>
      </c>
      <c r="CM6" s="21">
        <f t="shared" si="34"/>
        <v>-2.1676639696856737</v>
      </c>
      <c r="CN6" s="57"/>
      <c r="CO6" s="21">
        <f t="shared" si="35"/>
        <v>-6.2627319673567943</v>
      </c>
      <c r="CP6" s="21">
        <f t="shared" si="36"/>
        <v>-5.4098523440877404</v>
      </c>
      <c r="CQ6" s="21">
        <f t="shared" si="37"/>
        <v>-9.7363725031612383</v>
      </c>
      <c r="CR6" s="21">
        <f t="shared" si="38"/>
        <v>-5.3498321596348042</v>
      </c>
      <c r="CS6" s="21">
        <f t="shared" si="39"/>
        <v>3.7266370325955145</v>
      </c>
      <c r="CU6" s="23">
        <f>Balance_on_income!B11</f>
        <v>11040</v>
      </c>
      <c r="CV6" s="23">
        <f>Balance_on_income!C11</f>
        <v>1527.9</v>
      </c>
      <c r="CW6" s="23">
        <f>Balance_on_income!D11</f>
        <v>1195.3</v>
      </c>
      <c r="CX6" s="23">
        <f>Balance_on_income!E11</f>
        <v>6788.7</v>
      </c>
      <c r="CY6" s="23">
        <f>Balance_on_income!F11</f>
        <v>1528.1</v>
      </c>
      <c r="CZ6" s="23">
        <f>Balance_on_income!G11</f>
        <v>2745.3</v>
      </c>
      <c r="DA6" s="23">
        <f>Balance_on_income!H11</f>
        <v>584.9</v>
      </c>
      <c r="DB6" s="23">
        <f>Balance_on_income!I11</f>
        <v>390.1</v>
      </c>
      <c r="DC6" s="23">
        <f>Balance_on_income!J11</f>
        <v>773.4</v>
      </c>
      <c r="DD6" s="23">
        <f>Balance_on_income!K11</f>
        <v>996.9</v>
      </c>
      <c r="DE6" s="21">
        <f t="shared" si="40"/>
        <v>3.2761814841346659</v>
      </c>
      <c r="DF6" s="21">
        <f t="shared" si="41"/>
        <v>4.4475290182380611</v>
      </c>
      <c r="DG6" s="21">
        <f t="shared" si="42"/>
        <v>4.989009030544489</v>
      </c>
      <c r="DH6" s="21">
        <f t="shared" si="43"/>
        <v>5.0436068396096267</v>
      </c>
      <c r="DI6" s="21">
        <f t="shared" si="44"/>
        <v>1.6964684629194426</v>
      </c>
      <c r="DJ6" s="21">
        <f t="shared" si="45"/>
        <v>1.6955156666646598</v>
      </c>
      <c r="DK6" s="21">
        <f t="shared" si="46"/>
        <v>6.5068949160801193</v>
      </c>
      <c r="DL6" s="21">
        <f t="shared" si="47"/>
        <v>1.2079694778252659</v>
      </c>
      <c r="DM6" s="21">
        <f t="shared" si="48"/>
        <v>2.6390618877544014</v>
      </c>
      <c r="DN6" s="21">
        <f t="shared" si="49"/>
        <v>1.1769938629534904</v>
      </c>
      <c r="DP6" s="21">
        <f t="shared" si="50"/>
        <v>1.5806658174700061</v>
      </c>
      <c r="DQ6" s="21">
        <f t="shared" si="51"/>
        <v>-2.0593658978420581</v>
      </c>
      <c r="DR6" s="21">
        <f t="shared" si="52"/>
        <v>3.7810395527192231</v>
      </c>
      <c r="DS6" s="21">
        <f t="shared" si="53"/>
        <v>2.4045449518552253</v>
      </c>
      <c r="DT6" s="21">
        <f t="shared" si="54"/>
        <v>0.51947459996595224</v>
      </c>
      <c r="DU6" s="21"/>
      <c r="DV6" s="11">
        <f t="shared" si="55"/>
        <v>7295</v>
      </c>
      <c r="DW6" s="11">
        <f t="shared" si="56"/>
        <v>-2183</v>
      </c>
      <c r="DX6" s="11">
        <f t="shared" si="57"/>
        <v>5059</v>
      </c>
      <c r="DY6" s="11">
        <f t="shared" si="58"/>
        <v>-623</v>
      </c>
      <c r="DZ6" s="11">
        <f t="shared" si="59"/>
        <v>4432</v>
      </c>
      <c r="EA6" s="11">
        <f t="shared" si="60"/>
        <v>610</v>
      </c>
      <c r="EB6" s="11">
        <f t="shared" si="61"/>
        <v>13278</v>
      </c>
      <c r="EC6" s="11">
        <f t="shared" si="62"/>
        <v>-492</v>
      </c>
      <c r="ED6" s="11">
        <f t="shared" si="63"/>
        <v>9489</v>
      </c>
      <c r="EE6" s="11">
        <f t="shared" si="64"/>
        <v>871</v>
      </c>
      <c r="EF6" s="11">
        <f t="shared" si="65"/>
        <v>3410</v>
      </c>
      <c r="EG6" s="21">
        <f t="shared" si="0"/>
        <v>2.2491131110623508</v>
      </c>
      <c r="EH6" s="21">
        <f t="shared" si="1"/>
        <v>-5.7510068398691994</v>
      </c>
      <c r="EI6" s="21">
        <f t="shared" si="2"/>
        <v>20.312423852502359</v>
      </c>
      <c r="EJ6" s="21">
        <f t="shared" si="3"/>
        <v>-0.1915965452146895</v>
      </c>
      <c r="EK6" s="21">
        <f t="shared" si="4"/>
        <v>4.4481768853030346</v>
      </c>
      <c r="EL6" s="21">
        <f t="shared" si="5"/>
        <v>1.3392202164131284</v>
      </c>
      <c r="EM6" s="21">
        <f t="shared" si="6"/>
        <v>7.2473509884966258</v>
      </c>
      <c r="EN6" s="21">
        <f t="shared" si="7"/>
        <v>-5.0159529259844682</v>
      </c>
      <c r="EO6" s="21">
        <f t="shared" si="8"/>
        <v>23.588190525767526</v>
      </c>
      <c r="EP6" s="21">
        <f t="shared" si="9"/>
        <v>2.9407469281467646</v>
      </c>
      <c r="EQ6" s="21">
        <f t="shared" si="10"/>
        <v>3.4246180841631224</v>
      </c>
      <c r="ES6" s="21">
        <f t="shared" si="66"/>
        <v>-4.9982378774342751</v>
      </c>
      <c r="ET6" s="21">
        <f t="shared" si="67"/>
        <v>-0.73505391388473118</v>
      </c>
      <c r="EU6" s="21">
        <f t="shared" si="68"/>
        <v>-3.2757666732651671</v>
      </c>
      <c r="EV6" s="21">
        <f t="shared" si="69"/>
        <v>-3.1323434733614541</v>
      </c>
      <c r="EW6" s="21">
        <f t="shared" si="70"/>
        <v>1.0235588011399122</v>
      </c>
      <c r="EX6" s="21"/>
      <c r="EY6" s="23">
        <f t="shared" si="71"/>
        <v>1783</v>
      </c>
      <c r="EZ6" s="23">
        <f t="shared" si="72"/>
        <v>-2356.1</v>
      </c>
      <c r="FA6" s="23">
        <f t="shared" si="73"/>
        <v>4625.3</v>
      </c>
      <c r="FB6" s="23">
        <f t="shared" si="74"/>
        <v>2111.6999999999998</v>
      </c>
      <c r="FC6" s="23">
        <f t="shared" si="75"/>
        <v>2911.1</v>
      </c>
      <c r="FD6" s="23">
        <f t="shared" si="76"/>
        <v>-5509</v>
      </c>
      <c r="FE6" s="23">
        <f t="shared" si="77"/>
        <v>9810.2999999999993</v>
      </c>
      <c r="FF6" s="23">
        <f t="shared" si="78"/>
        <v>92.899999999999977</v>
      </c>
      <c r="FG6" s="23">
        <f t="shared" si="79"/>
        <v>9879.1</v>
      </c>
      <c r="FH6" s="23">
        <f t="shared" si="80"/>
        <v>1435.4</v>
      </c>
      <c r="FI6" s="23">
        <f t="shared" si="81"/>
        <v>-1597.1</v>
      </c>
      <c r="FJ6" s="21">
        <f t="shared" si="82"/>
        <v>0.73744398626272023</v>
      </c>
      <c r="FK6" s="21">
        <f t="shared" si="83"/>
        <v>-6.226731477299019</v>
      </c>
      <c r="FL6" s="21">
        <f t="shared" si="84"/>
        <v>18.592371827685938</v>
      </c>
      <c r="FM6" s="21">
        <f t="shared" si="85"/>
        <v>1.7400400154230944</v>
      </c>
      <c r="FN6" s="21">
        <f t="shared" si="86"/>
        <v>3.0069863003644226</v>
      </c>
      <c r="FO6" s="21">
        <f t="shared" si="87"/>
        <v>-9.6024043403287411</v>
      </c>
      <c r="FP6" s="21">
        <f t="shared" si="88"/>
        <v>5.4195101361494746</v>
      </c>
      <c r="FQ6" s="21">
        <f t="shared" si="89"/>
        <v>1.2424867646307902</v>
      </c>
      <c r="FR6" s="21">
        <f t="shared" si="90"/>
        <v>24.547704778127954</v>
      </c>
      <c r="FS6" s="21">
        <f t="shared" si="91"/>
        <v>4.685327223202651</v>
      </c>
      <c r="FT6" s="21">
        <f t="shared" si="92"/>
        <v>-1.2391253321970219</v>
      </c>
      <c r="FV6" s="21">
        <f t="shared" si="93"/>
        <v>-4.6820661498867544</v>
      </c>
      <c r="FW6" s="21">
        <f t="shared" si="94"/>
        <v>-7.4692182419298092</v>
      </c>
      <c r="FX6" s="21">
        <f t="shared" si="95"/>
        <v>-5.9553329504420169</v>
      </c>
      <c r="FY6" s="21">
        <f t="shared" si="96"/>
        <v>-2.9452872077795567</v>
      </c>
      <c r="FZ6" s="21">
        <f t="shared" si="97"/>
        <v>4.2461116325614441</v>
      </c>
      <c r="GB6" s="23">
        <f t="shared" si="98"/>
        <v>18335</v>
      </c>
      <c r="GC6" s="23">
        <f t="shared" si="99"/>
        <v>-655.09999999999991</v>
      </c>
      <c r="GD6" s="23">
        <f t="shared" si="100"/>
        <v>6254.3</v>
      </c>
      <c r="GE6" s="23">
        <f t="shared" si="101"/>
        <v>6165.7</v>
      </c>
      <c r="GF6" s="23">
        <f t="shared" si="102"/>
        <v>5960.1</v>
      </c>
      <c r="GG6" s="23">
        <f t="shared" si="103"/>
        <v>610</v>
      </c>
      <c r="GH6" s="23">
        <f t="shared" si="104"/>
        <v>16023.3</v>
      </c>
      <c r="GI6" s="23">
        <f t="shared" si="105"/>
        <v>92.899999999999977</v>
      </c>
      <c r="GJ6" s="23">
        <f t="shared" si="106"/>
        <v>9879.1</v>
      </c>
      <c r="GK6" s="23">
        <f t="shared" si="107"/>
        <v>1644.4</v>
      </c>
      <c r="GL6" s="23">
        <f t="shared" si="108"/>
        <v>4406.8999999999996</v>
      </c>
      <c r="GM6" s="21">
        <f t="shared" si="109"/>
        <v>5.276839369732178</v>
      </c>
      <c r="GN6" s="21">
        <f t="shared" si="110"/>
        <v>-1.551933047095988</v>
      </c>
      <c r="GO6" s="21">
        <f t="shared" si="111"/>
        <v>25.052977657581987</v>
      </c>
      <c r="GP6" s="21">
        <f t="shared" si="112"/>
        <v>4.6035550689300875</v>
      </c>
      <c r="GQ6" s="21">
        <f t="shared" si="113"/>
        <v>5.8961901227576163</v>
      </c>
      <c r="GR6" s="21">
        <f t="shared" si="114"/>
        <v>1.3392202164131284</v>
      </c>
      <c r="GS6" s="21">
        <f t="shared" si="115"/>
        <v>8.6944114296964248</v>
      </c>
      <c r="GT6" s="21">
        <f t="shared" si="116"/>
        <v>1.2424867646307902</v>
      </c>
      <c r="GU6" s="21">
        <f t="shared" si="117"/>
        <v>24.547704778127954</v>
      </c>
      <c r="GV6" s="21">
        <f t="shared" si="118"/>
        <v>5.3313535904363274</v>
      </c>
      <c r="GW6" s="21">
        <f t="shared" si="119"/>
        <v>4.3531567216517741</v>
      </c>
      <c r="GY6" s="21">
        <f t="shared" si="120"/>
        <v>-3.4175720599642467</v>
      </c>
      <c r="GZ6" s="21">
        <f t="shared" si="121"/>
        <v>-2.7944198117267782</v>
      </c>
      <c r="HA6" s="21">
        <f t="shared" si="122"/>
        <v>0.50527287945403287</v>
      </c>
      <c r="HB6" s="21">
        <f t="shared" si="123"/>
        <v>-0.72779852150623991</v>
      </c>
      <c r="HC6" s="21">
        <f t="shared" si="124"/>
        <v>1.5430334011058422</v>
      </c>
      <c r="HF6" s="44">
        <f t="shared" si="125"/>
        <v>3.4288268540171425E-2</v>
      </c>
      <c r="HG6" s="44">
        <f t="shared" si="126"/>
        <v>2.3846817957572767E-2</v>
      </c>
      <c r="HH6" s="44"/>
      <c r="HI6" s="44">
        <f t="shared" si="11"/>
        <v>3.6858011789729472</v>
      </c>
      <c r="HJ6" s="44">
        <f t="shared" si="12"/>
        <v>2.6390618877544014</v>
      </c>
      <c r="HK6" s="44"/>
      <c r="HL6" s="44">
        <f t="shared" si="127"/>
        <v>1.0467392912185458</v>
      </c>
      <c r="HN6" s="9">
        <v>0</v>
      </c>
      <c r="HP6" s="57"/>
    </row>
    <row r="7" spans="1:224" s="11" customFormat="1" ht="15">
      <c r="A7" s="11">
        <v>2004</v>
      </c>
      <c r="B7" s="61">
        <v>433864</v>
      </c>
      <c r="C7" s="61">
        <v>48326</v>
      </c>
      <c r="D7" s="61">
        <v>46865</v>
      </c>
      <c r="E7" s="61">
        <v>-3525</v>
      </c>
      <c r="F7" s="61">
        <v>4987</v>
      </c>
      <c r="G7" s="61">
        <v>38581</v>
      </c>
      <c r="H7" s="61">
        <v>2648</v>
      </c>
      <c r="I7" s="61">
        <v>3349</v>
      </c>
      <c r="J7" s="61">
        <v>-112</v>
      </c>
      <c r="K7" s="61">
        <v>-589</v>
      </c>
      <c r="L7" s="61">
        <v>37972</v>
      </c>
      <c r="M7" s="61">
        <v>8577</v>
      </c>
      <c r="N7" s="61">
        <v>3290</v>
      </c>
      <c r="O7" s="61">
        <v>-123</v>
      </c>
      <c r="P7" s="61">
        <v>5410</v>
      </c>
      <c r="Q7" s="61">
        <v>171275</v>
      </c>
      <c r="R7" s="61">
        <v>16317</v>
      </c>
      <c r="S7" s="61">
        <v>16730</v>
      </c>
      <c r="T7" s="61">
        <v>-229</v>
      </c>
      <c r="U7" s="61">
        <v>-183</v>
      </c>
      <c r="V7" s="61">
        <v>599</v>
      </c>
      <c r="W7" s="61">
        <v>74</v>
      </c>
      <c r="X7" s="61">
        <v>2343</v>
      </c>
      <c r="Y7" s="61">
        <v>0</v>
      </c>
      <c r="Z7" s="61">
        <v>-2268</v>
      </c>
      <c r="AA7" s="61">
        <v>97718</v>
      </c>
      <c r="AB7" s="61">
        <v>5073</v>
      </c>
      <c r="AC7" s="61">
        <v>3886</v>
      </c>
      <c r="AD7" s="61">
        <v>-1343</v>
      </c>
      <c r="AE7" s="61">
        <v>2531</v>
      </c>
      <c r="AF7" s="61">
        <v>87720</v>
      </c>
      <c r="AG7" s="61">
        <v>15636</v>
      </c>
      <c r="AH7" s="61">
        <v>17267</v>
      </c>
      <c r="AI7" s="61">
        <v>-1717</v>
      </c>
      <c r="AJ7" s="61">
        <v>86</v>
      </c>
      <c r="AK7" s="61">
        <v>248067</v>
      </c>
      <c r="AL7" s="61">
        <v>35347</v>
      </c>
      <c r="AM7" s="61">
        <v>31962</v>
      </c>
      <c r="AN7" s="61">
        <v>-1656</v>
      </c>
      <c r="AO7" s="61">
        <v>5041</v>
      </c>
      <c r="AP7" s="61">
        <v>10098</v>
      </c>
      <c r="AQ7" s="61">
        <v>488</v>
      </c>
      <c r="AR7" s="61">
        <v>846</v>
      </c>
      <c r="AS7" s="61">
        <v>0</v>
      </c>
      <c r="AT7" s="61">
        <v>-357</v>
      </c>
      <c r="AU7" s="61">
        <v>77393</v>
      </c>
      <c r="AV7" s="61">
        <v>17307</v>
      </c>
      <c r="AW7" s="61">
        <v>10596</v>
      </c>
      <c r="AX7" s="61">
        <v>0</v>
      </c>
      <c r="AY7" s="61">
        <v>6711</v>
      </c>
      <c r="AZ7" s="61">
        <v>42699</v>
      </c>
      <c r="BA7" s="61">
        <v>9911</v>
      </c>
      <c r="BB7" s="61">
        <v>11303</v>
      </c>
      <c r="BC7" s="61">
        <v>41</v>
      </c>
      <c r="BD7" s="61">
        <v>-1434</v>
      </c>
      <c r="BE7" s="61">
        <v>1121</v>
      </c>
      <c r="BF7" s="61">
        <v>395</v>
      </c>
      <c r="BG7" s="61">
        <v>2683</v>
      </c>
      <c r="BH7" s="61">
        <v>0</v>
      </c>
      <c r="BI7" s="61">
        <v>-2288</v>
      </c>
      <c r="BJ7" s="61">
        <v>116756</v>
      </c>
      <c r="BK7" s="61">
        <v>7246</v>
      </c>
      <c r="BL7" s="61">
        <v>6535</v>
      </c>
      <c r="BM7" s="61">
        <v>-1698</v>
      </c>
      <c r="BN7" s="61">
        <v>2409</v>
      </c>
      <c r="BP7" s="54">
        <f>yield!M12</f>
        <v>-8.2754054945362292E-3</v>
      </c>
      <c r="BQ7" s="9"/>
      <c r="BR7" s="11">
        <f t="shared" si="13"/>
        <v>3729</v>
      </c>
      <c r="BS7" s="11">
        <f t="shared" si="14"/>
        <v>-701</v>
      </c>
      <c r="BT7" s="11">
        <f t="shared" si="15"/>
        <v>5287</v>
      </c>
      <c r="BU7" s="11">
        <f t="shared" si="16"/>
        <v>-413</v>
      </c>
      <c r="BV7" s="11">
        <f t="shared" si="17"/>
        <v>1187</v>
      </c>
      <c r="BW7" s="11">
        <f t="shared" si="18"/>
        <v>-1631</v>
      </c>
      <c r="BX7" s="11">
        <f t="shared" si="19"/>
        <v>5672</v>
      </c>
      <c r="BY7" s="11">
        <f t="shared" si="20"/>
        <v>-358</v>
      </c>
      <c r="BZ7" s="11">
        <f t="shared" si="21"/>
        <v>6711</v>
      </c>
      <c r="CA7" s="11">
        <f t="shared" si="22"/>
        <v>-1392</v>
      </c>
      <c r="CB7" s="11">
        <f t="shared" si="23"/>
        <v>711</v>
      </c>
      <c r="CC7" s="21">
        <f t="shared" si="24"/>
        <v>0.97688994059081935</v>
      </c>
      <c r="CD7" s="21">
        <f t="shared" si="25"/>
        <v>-1.9427383403535226</v>
      </c>
      <c r="CE7" s="21">
        <f t="shared" si="26"/>
        <v>17.995816681965348</v>
      </c>
      <c r="CF7" s="21">
        <f t="shared" si="27"/>
        <v>-0.2582697996428851</v>
      </c>
      <c r="CG7" s="21">
        <f t="shared" si="28"/>
        <v>1.2896169476175334</v>
      </c>
      <c r="CH7" s="21">
        <f t="shared" si="29"/>
        <v>-2.2545492009993895</v>
      </c>
      <c r="CI7" s="21">
        <f t="shared" si="30"/>
        <v>2.6840449422506074</v>
      </c>
      <c r="CJ7" s="21">
        <f t="shared" si="31"/>
        <v>-3.7173183779244945</v>
      </c>
      <c r="CK7" s="21">
        <f t="shared" si="32"/>
        <v>11.178191558911399</v>
      </c>
      <c r="CL7" s="21">
        <f t="shared" si="33"/>
        <v>-4.2375309218799506</v>
      </c>
      <c r="CM7" s="21">
        <f t="shared" si="34"/>
        <v>0.65758559909758763</v>
      </c>
      <c r="CN7" s="21"/>
      <c r="CO7" s="21">
        <f t="shared" si="35"/>
        <v>-1.7071550016597881</v>
      </c>
      <c r="CP7" s="21">
        <f t="shared" si="36"/>
        <v>1.7745800375709719</v>
      </c>
      <c r="CQ7" s="21">
        <f t="shared" si="37"/>
        <v>6.8176251230539489</v>
      </c>
      <c r="CR7" s="21">
        <f t="shared" si="38"/>
        <v>3.9792611222370655</v>
      </c>
      <c r="CS7" s="21">
        <f t="shared" si="39"/>
        <v>0.6320313485199458</v>
      </c>
      <c r="CU7" s="23">
        <f>Balance_on_income!B12</f>
        <v>12242.7</v>
      </c>
      <c r="CV7" s="23">
        <f>Balance_on_income!C12</f>
        <v>2054.5</v>
      </c>
      <c r="CW7" s="23">
        <f>Balance_on_income!D12</f>
        <v>1483.9</v>
      </c>
      <c r="CX7" s="23">
        <f>Balance_on_income!E12</f>
        <v>7311.7</v>
      </c>
      <c r="CY7" s="23">
        <f>Balance_on_income!F12</f>
        <v>1392.6</v>
      </c>
      <c r="CZ7" s="23">
        <f>Balance_on_income!G12</f>
        <v>2956.8</v>
      </c>
      <c r="DA7" s="23">
        <f>Balance_on_income!H12</f>
        <v>687.1</v>
      </c>
      <c r="DB7" s="23">
        <f>Balance_on_income!I12</f>
        <v>650.1</v>
      </c>
      <c r="DC7" s="23">
        <f>Balance_on_income!J12</f>
        <v>714.6</v>
      </c>
      <c r="DD7" s="23">
        <f>Balance_on_income!K12</f>
        <v>905</v>
      </c>
      <c r="DE7" s="21">
        <f t="shared" si="40"/>
        <v>3.1883374430274225</v>
      </c>
      <c r="DF7" s="21">
        <f t="shared" si="41"/>
        <v>5.7263347892773764</v>
      </c>
      <c r="DG7" s="21">
        <f t="shared" si="42"/>
        <v>5.0568313171310608</v>
      </c>
      <c r="DH7" s="21">
        <f t="shared" si="43"/>
        <v>4.7271709669862494</v>
      </c>
      <c r="DI7" s="21">
        <f t="shared" si="44"/>
        <v>1.5115577060414331</v>
      </c>
      <c r="DJ7" s="21">
        <f t="shared" si="45"/>
        <v>1.4031479770507005</v>
      </c>
      <c r="DK7" s="21">
        <f t="shared" si="46"/>
        <v>7.1587117305094816</v>
      </c>
      <c r="DL7" s="21">
        <f t="shared" si="47"/>
        <v>1.0903148396065543</v>
      </c>
      <c r="DM7" s="21">
        <f t="shared" si="48"/>
        <v>2.1879123626138641</v>
      </c>
      <c r="DN7" s="21">
        <f t="shared" si="49"/>
        <v>0.8347530318574492</v>
      </c>
      <c r="DP7" s="21">
        <f t="shared" si="50"/>
        <v>1.785189465976722</v>
      </c>
      <c r="DQ7" s="21">
        <f t="shared" si="51"/>
        <v>-1.4323769412321052</v>
      </c>
      <c r="DR7" s="21">
        <f t="shared" si="52"/>
        <v>3.9665164775245065</v>
      </c>
      <c r="DS7" s="21">
        <f t="shared" si="53"/>
        <v>2.5392586043723853</v>
      </c>
      <c r="DT7" s="21">
        <f t="shared" si="54"/>
        <v>0.67680467418398393</v>
      </c>
      <c r="DU7" s="21"/>
      <c r="DV7" s="11">
        <f t="shared" si="55"/>
        <v>7253</v>
      </c>
      <c r="DW7" s="11">
        <f t="shared" si="56"/>
        <v>-589</v>
      </c>
      <c r="DX7" s="11">
        <f t="shared" si="57"/>
        <v>5410</v>
      </c>
      <c r="DY7" s="11">
        <f t="shared" si="58"/>
        <v>-184</v>
      </c>
      <c r="DZ7" s="11">
        <f t="shared" si="59"/>
        <v>2530</v>
      </c>
      <c r="EA7" s="11">
        <f t="shared" si="60"/>
        <v>86</v>
      </c>
      <c r="EB7" s="11">
        <f t="shared" si="61"/>
        <v>7329</v>
      </c>
      <c r="EC7" s="11">
        <f t="shared" si="62"/>
        <v>-358</v>
      </c>
      <c r="ED7" s="11">
        <f t="shared" si="63"/>
        <v>6711</v>
      </c>
      <c r="EE7" s="11">
        <f t="shared" si="64"/>
        <v>-1433</v>
      </c>
      <c r="EF7" s="11">
        <f t="shared" si="65"/>
        <v>2409</v>
      </c>
      <c r="EG7" s="21">
        <f t="shared" si="0"/>
        <v>1.8922547054505801</v>
      </c>
      <c r="EH7" s="21">
        <f t="shared" si="1"/>
        <v>-1.6310213414354791</v>
      </c>
      <c r="EI7" s="21">
        <f t="shared" si="2"/>
        <v>18.414289822265275</v>
      </c>
      <c r="EJ7" s="21">
        <f t="shared" si="3"/>
        <v>-0.11047558943949598</v>
      </c>
      <c r="EK7" s="21">
        <f t="shared" si="4"/>
        <v>2.7393564347930388</v>
      </c>
      <c r="EL7" s="21">
        <f t="shared" si="5"/>
        <v>0.12759121916559035</v>
      </c>
      <c r="EM7" s="21">
        <f t="shared" si="6"/>
        <v>3.465735525388558</v>
      </c>
      <c r="EN7" s="21">
        <f t="shared" si="7"/>
        <v>-3.7173183779244945</v>
      </c>
      <c r="EO7" s="21">
        <f t="shared" si="8"/>
        <v>11.178191558911399</v>
      </c>
      <c r="EP7" s="21">
        <f t="shared" si="9"/>
        <v>-4.3625870192236516</v>
      </c>
      <c r="EQ7" s="21">
        <f t="shared" si="10"/>
        <v>2.2082572528411282</v>
      </c>
      <c r="ES7" s="21">
        <f t="shared" si="66"/>
        <v>-1.5734808199379779</v>
      </c>
      <c r="ET7" s="21">
        <f t="shared" si="67"/>
        <v>2.0862970364890154</v>
      </c>
      <c r="EU7" s="21">
        <f t="shared" si="68"/>
        <v>7.2360982633538757</v>
      </c>
      <c r="EV7" s="21">
        <f t="shared" si="69"/>
        <v>4.252111429784156</v>
      </c>
      <c r="EW7" s="21">
        <f t="shared" si="70"/>
        <v>0.53109918195191064</v>
      </c>
      <c r="EX7" s="21"/>
      <c r="EY7" s="23">
        <f t="shared" si="71"/>
        <v>15971.699999999997</v>
      </c>
      <c r="EZ7" s="23">
        <f t="shared" si="72"/>
        <v>1353.5</v>
      </c>
      <c r="FA7" s="23">
        <f t="shared" si="73"/>
        <v>6770.9</v>
      </c>
      <c r="FB7" s="23">
        <f t="shared" si="74"/>
        <v>6898.7</v>
      </c>
      <c r="FC7" s="23">
        <f t="shared" si="75"/>
        <v>2579.6</v>
      </c>
      <c r="FD7" s="23">
        <f t="shared" si="76"/>
        <v>-1631</v>
      </c>
      <c r="FE7" s="23">
        <f t="shared" si="77"/>
        <v>8628.8000000000011</v>
      </c>
      <c r="FF7" s="23">
        <f t="shared" si="78"/>
        <v>329.1</v>
      </c>
      <c r="FG7" s="23">
        <f t="shared" si="79"/>
        <v>7361.1</v>
      </c>
      <c r="FH7" s="23">
        <f t="shared" si="80"/>
        <v>-677.4</v>
      </c>
      <c r="FI7" s="23">
        <f t="shared" si="81"/>
        <v>1616</v>
      </c>
      <c r="FJ7" s="21">
        <f t="shared" si="82"/>
        <v>4.1569512932436492</v>
      </c>
      <c r="FK7" s="21">
        <f t="shared" si="83"/>
        <v>3.7753203585492834</v>
      </c>
      <c r="FL7" s="21">
        <f t="shared" si="84"/>
        <v>23.044371908721839</v>
      </c>
      <c r="FM7" s="21">
        <f t="shared" si="85"/>
        <v>4.4606250769687827</v>
      </c>
      <c r="FN7" s="21">
        <f t="shared" si="86"/>
        <v>2.7928985632843961</v>
      </c>
      <c r="FO7" s="21">
        <f t="shared" si="87"/>
        <v>-2.2545492009993895</v>
      </c>
      <c r="FP7" s="21">
        <f t="shared" si="88"/>
        <v>4.0789168289267153</v>
      </c>
      <c r="FQ7" s="21">
        <f t="shared" si="89"/>
        <v>3.4331172622104056</v>
      </c>
      <c r="FR7" s="21">
        <f t="shared" si="90"/>
        <v>12.260230308143383</v>
      </c>
      <c r="FS7" s="21">
        <f t="shared" si="91"/>
        <v>-2.057894649640668</v>
      </c>
      <c r="FT7" s="21">
        <f t="shared" si="92"/>
        <v>1.4840625405804442</v>
      </c>
      <c r="FV7" s="21">
        <f t="shared" si="93"/>
        <v>7.8034464316933949E-2</v>
      </c>
      <c r="FW7" s="21">
        <f t="shared" si="94"/>
        <v>0.3422030963388778</v>
      </c>
      <c r="FX7" s="21">
        <f t="shared" si="95"/>
        <v>10.784141600578456</v>
      </c>
      <c r="FY7" s="21">
        <f t="shared" si="96"/>
        <v>6.5185197266094512</v>
      </c>
      <c r="FZ7" s="21">
        <f t="shared" si="97"/>
        <v>1.3088360227039519</v>
      </c>
      <c r="GB7" s="23">
        <f t="shared" si="98"/>
        <v>19495.699999999997</v>
      </c>
      <c r="GC7" s="23">
        <f t="shared" si="99"/>
        <v>1465.5</v>
      </c>
      <c r="GD7" s="23">
        <f t="shared" si="100"/>
        <v>6893.9</v>
      </c>
      <c r="GE7" s="23">
        <f t="shared" si="101"/>
        <v>7127.7</v>
      </c>
      <c r="GF7" s="23">
        <f t="shared" si="102"/>
        <v>3922.6</v>
      </c>
      <c r="GG7" s="23">
        <f t="shared" si="103"/>
        <v>86</v>
      </c>
      <c r="GH7" s="23">
        <f t="shared" si="104"/>
        <v>10285.800000000001</v>
      </c>
      <c r="GI7" s="23">
        <f t="shared" si="105"/>
        <v>329.1</v>
      </c>
      <c r="GJ7" s="23">
        <f t="shared" si="106"/>
        <v>7361.1</v>
      </c>
      <c r="GK7" s="23">
        <f t="shared" si="107"/>
        <v>-718.4</v>
      </c>
      <c r="GL7" s="23">
        <f t="shared" si="108"/>
        <v>3314</v>
      </c>
      <c r="GM7" s="21">
        <f t="shared" si="109"/>
        <v>5.0723160581034099</v>
      </c>
      <c r="GN7" s="21">
        <f t="shared" si="110"/>
        <v>4.087037357467338</v>
      </c>
      <c r="GO7" s="21">
        <f t="shared" si="111"/>
        <v>23.462845049021741</v>
      </c>
      <c r="GP7" s="21">
        <f t="shared" si="112"/>
        <v>4.6084192871721941</v>
      </c>
      <c r="GQ7" s="21">
        <f t="shared" si="113"/>
        <v>4.2426380504599015</v>
      </c>
      <c r="GR7" s="21">
        <f t="shared" si="114"/>
        <v>0.12759121916559035</v>
      </c>
      <c r="GS7" s="21">
        <f t="shared" si="115"/>
        <v>4.8606074120647103</v>
      </c>
      <c r="GT7" s="21">
        <f t="shared" si="116"/>
        <v>3.4331172622104056</v>
      </c>
      <c r="GU7" s="21">
        <f t="shared" si="117"/>
        <v>12.260230308143383</v>
      </c>
      <c r="GV7" s="21">
        <f t="shared" si="118"/>
        <v>-2.182950746984369</v>
      </c>
      <c r="GW7" s="21">
        <f t="shared" si="119"/>
        <v>3.0347341943240069</v>
      </c>
      <c r="GY7" s="21">
        <f t="shared" si="120"/>
        <v>0.21170864603869965</v>
      </c>
      <c r="GZ7" s="21">
        <f t="shared" si="121"/>
        <v>0.6539200952569324</v>
      </c>
      <c r="HA7" s="21">
        <f t="shared" si="122"/>
        <v>11.202614740878358</v>
      </c>
      <c r="HB7" s="21">
        <f t="shared" si="123"/>
        <v>6.7913700341565626</v>
      </c>
      <c r="HC7" s="21">
        <f t="shared" si="124"/>
        <v>1.2079038561358946</v>
      </c>
      <c r="HF7" s="44">
        <f t="shared" si="125"/>
        <v>3.2204173677117011E-2</v>
      </c>
      <c r="HG7" s="44">
        <f t="shared" si="126"/>
        <v>2.1794558984994512E-2</v>
      </c>
      <c r="HH7" s="8"/>
      <c r="HI7" s="44">
        <f t="shared" si="11"/>
        <v>3.2289599827380666</v>
      </c>
      <c r="HJ7" s="44">
        <f t="shared" si="12"/>
        <v>2.1879123626138641</v>
      </c>
      <c r="HK7" s="8"/>
      <c r="HL7" s="44">
        <f t="shared" si="127"/>
        <v>1.0410476201242025</v>
      </c>
      <c r="HN7" s="9">
        <v>0</v>
      </c>
      <c r="HP7" s="57"/>
    </row>
    <row r="8" spans="1:224" s="11" customFormat="1" ht="15">
      <c r="A8" s="11">
        <v>2005</v>
      </c>
      <c r="B8" s="61">
        <v>506191</v>
      </c>
      <c r="C8" s="61">
        <v>72327</v>
      </c>
      <c r="D8" s="61">
        <v>41669</v>
      </c>
      <c r="E8" s="61">
        <v>31795</v>
      </c>
      <c r="F8" s="61">
        <v>-1137</v>
      </c>
      <c r="G8" s="61">
        <v>45605</v>
      </c>
      <c r="H8" s="61">
        <v>7025</v>
      </c>
      <c r="I8" s="61">
        <v>5046</v>
      </c>
      <c r="J8" s="61">
        <v>3182</v>
      </c>
      <c r="K8" s="61">
        <v>-1203</v>
      </c>
      <c r="L8" s="61">
        <v>48200</v>
      </c>
      <c r="M8" s="61">
        <v>10228</v>
      </c>
      <c r="N8" s="61">
        <v>2541</v>
      </c>
      <c r="O8" s="61">
        <v>3519</v>
      </c>
      <c r="P8" s="61">
        <v>4168</v>
      </c>
      <c r="Q8" s="62">
        <v>201294</v>
      </c>
      <c r="R8" s="61">
        <v>30018</v>
      </c>
      <c r="S8" s="61">
        <v>21027</v>
      </c>
      <c r="T8" s="61">
        <v>11008</v>
      </c>
      <c r="U8" s="61">
        <v>-2017</v>
      </c>
      <c r="V8" s="61">
        <v>3104</v>
      </c>
      <c r="W8" s="61">
        <v>2506</v>
      </c>
      <c r="X8" s="61">
        <v>2574</v>
      </c>
      <c r="Y8" s="61">
        <v>2</v>
      </c>
      <c r="Z8" s="61">
        <v>-70</v>
      </c>
      <c r="AA8" s="61">
        <v>108544</v>
      </c>
      <c r="AB8" s="61">
        <v>10826</v>
      </c>
      <c r="AC8" s="61">
        <v>8025</v>
      </c>
      <c r="AD8" s="61">
        <v>4251</v>
      </c>
      <c r="AE8" s="61">
        <v>-1450</v>
      </c>
      <c r="AF8" s="61">
        <v>99444</v>
      </c>
      <c r="AG8" s="61">
        <v>11724</v>
      </c>
      <c r="AH8" s="61">
        <v>2456</v>
      </c>
      <c r="AI8" s="61">
        <v>9832</v>
      </c>
      <c r="AJ8" s="61">
        <v>-565</v>
      </c>
      <c r="AK8" s="61">
        <v>325492</v>
      </c>
      <c r="AL8" s="61">
        <v>77426</v>
      </c>
      <c r="AM8" s="61">
        <v>26704</v>
      </c>
      <c r="AN8" s="61">
        <v>7663</v>
      </c>
      <c r="AO8" s="61">
        <v>43058</v>
      </c>
      <c r="AP8" s="61">
        <v>11903</v>
      </c>
      <c r="AQ8" s="61">
        <v>1805</v>
      </c>
      <c r="AR8" s="61">
        <v>306</v>
      </c>
      <c r="AS8" s="61">
        <v>0</v>
      </c>
      <c r="AT8" s="61">
        <v>1499</v>
      </c>
      <c r="AU8" s="61">
        <v>132842</v>
      </c>
      <c r="AV8" s="61">
        <v>55450</v>
      </c>
      <c r="AW8" s="61">
        <v>13979</v>
      </c>
      <c r="AX8" s="61">
        <v>0</v>
      </c>
      <c r="AY8" s="61">
        <v>41471</v>
      </c>
      <c r="AZ8" s="61">
        <v>49117</v>
      </c>
      <c r="BA8" s="61">
        <v>6419</v>
      </c>
      <c r="BB8" s="61">
        <v>6368</v>
      </c>
      <c r="BC8" s="61">
        <v>361</v>
      </c>
      <c r="BD8" s="61">
        <v>-310</v>
      </c>
      <c r="BE8" s="61">
        <v>3921</v>
      </c>
      <c r="BF8" s="61">
        <v>2799</v>
      </c>
      <c r="BG8" s="61">
        <v>2729</v>
      </c>
      <c r="BH8" s="61">
        <v>0</v>
      </c>
      <c r="BI8" s="61">
        <v>71</v>
      </c>
      <c r="BJ8" s="61">
        <v>127709</v>
      </c>
      <c r="BK8" s="61">
        <v>10953</v>
      </c>
      <c r="BL8" s="61">
        <v>3324</v>
      </c>
      <c r="BM8" s="61">
        <v>7302</v>
      </c>
      <c r="BN8" s="61">
        <v>327</v>
      </c>
      <c r="BP8" s="54">
        <f>yield!M13</f>
        <v>-0.27311098237193399</v>
      </c>
      <c r="BQ8" s="9"/>
      <c r="BR8" s="11">
        <f t="shared" si="13"/>
        <v>30726</v>
      </c>
      <c r="BS8" s="11">
        <f t="shared" si="14"/>
        <v>1979</v>
      </c>
      <c r="BT8" s="11">
        <f t="shared" si="15"/>
        <v>7687</v>
      </c>
      <c r="BU8" s="11">
        <f t="shared" si="16"/>
        <v>8991</v>
      </c>
      <c r="BV8" s="11">
        <f t="shared" si="17"/>
        <v>2801</v>
      </c>
      <c r="BW8" s="11">
        <f t="shared" si="18"/>
        <v>9268</v>
      </c>
      <c r="BX8" s="11">
        <f t="shared" si="19"/>
        <v>50650</v>
      </c>
      <c r="BY8" s="11">
        <f t="shared" si="20"/>
        <v>1499</v>
      </c>
      <c r="BZ8" s="11">
        <f t="shared" si="21"/>
        <v>41471</v>
      </c>
      <c r="CA8" s="11">
        <f t="shared" si="22"/>
        <v>51</v>
      </c>
      <c r="CB8" s="11">
        <f t="shared" si="23"/>
        <v>7629</v>
      </c>
      <c r="CC8" s="21">
        <f t="shared" si="24"/>
        <v>7.3849975501140808</v>
      </c>
      <c r="CD8" s="21">
        <f t="shared" si="25"/>
        <v>5.4175076200985828</v>
      </c>
      <c r="CE8" s="21">
        <f t="shared" si="26"/>
        <v>20.573162448154637</v>
      </c>
      <c r="CF8" s="21">
        <f t="shared" si="27"/>
        <v>5.5376569171458945</v>
      </c>
      <c r="CG8" s="21">
        <f t="shared" si="28"/>
        <v>3.148120355474604</v>
      </c>
      <c r="CH8" s="21">
        <f t="shared" si="29"/>
        <v>10.868228785290057</v>
      </c>
      <c r="CI8" s="21">
        <f t="shared" si="30"/>
        <v>20.840752445024926</v>
      </c>
      <c r="CJ8" s="21">
        <f t="shared" si="31"/>
        <v>15.159035641583873</v>
      </c>
      <c r="CK8" s="21">
        <f t="shared" si="32"/>
        <v>54.006249908854386</v>
      </c>
      <c r="CL8" s="21">
        <f t="shared" si="33"/>
        <v>0.39362956158945916</v>
      </c>
      <c r="CM8" s="21">
        <f t="shared" si="34"/>
        <v>6.8258928184308898</v>
      </c>
      <c r="CN8" s="21"/>
      <c r="CO8" s="21">
        <f t="shared" si="35"/>
        <v>-13.455754894910845</v>
      </c>
      <c r="CP8" s="21">
        <f t="shared" si="36"/>
        <v>-9.7415280214852906</v>
      </c>
      <c r="CQ8" s="21">
        <f t="shared" si="37"/>
        <v>-33.433087460699753</v>
      </c>
      <c r="CR8" s="21">
        <f t="shared" si="38"/>
        <v>5.1440273555564353</v>
      </c>
      <c r="CS8" s="21">
        <f t="shared" si="39"/>
        <v>-3.6777724629562858</v>
      </c>
      <c r="CU8" s="23">
        <f>Balance_on_income!B13</f>
        <v>15559.7</v>
      </c>
      <c r="CV8" s="23">
        <f>Balance_on_income!C13</f>
        <v>3350.4</v>
      </c>
      <c r="CW8" s="23">
        <f>Balance_on_income!D13</f>
        <v>2080.1999999999998</v>
      </c>
      <c r="CX8" s="23">
        <f>Balance_on_income!E13</f>
        <v>8441.9</v>
      </c>
      <c r="CY8" s="23">
        <f>Balance_on_income!F13</f>
        <v>1687.2</v>
      </c>
      <c r="CZ8" s="23">
        <f>Balance_on_income!G13</f>
        <v>4125.3999999999996</v>
      </c>
      <c r="DA8" s="23">
        <f>Balance_on_income!H13</f>
        <v>1044.0999999999999</v>
      </c>
      <c r="DB8" s="23">
        <f>Balance_on_income!I13</f>
        <v>1104.8</v>
      </c>
      <c r="DC8" s="23">
        <f>Balance_on_income!J13</f>
        <v>769.3</v>
      </c>
      <c r="DD8" s="23">
        <f>Balance_on_income!K13</f>
        <v>1207.2</v>
      </c>
      <c r="DE8" s="21">
        <f t="shared" si="40"/>
        <v>3.87495192789582</v>
      </c>
      <c r="DF8" s="21">
        <f t="shared" si="41"/>
        <v>8.9819340100540259</v>
      </c>
      <c r="DG8" s="21">
        <f t="shared" si="42"/>
        <v>5.7671087191129677</v>
      </c>
      <c r="DH8" s="21">
        <f t="shared" si="43"/>
        <v>5.2161852811104303</v>
      </c>
      <c r="DI8" s="21">
        <f t="shared" si="44"/>
        <v>2.0051884077639581</v>
      </c>
      <c r="DJ8" s="21">
        <f t="shared" si="45"/>
        <v>1.9490151411686529</v>
      </c>
      <c r="DK8" s="21">
        <f t="shared" si="46"/>
        <v>10.641846255246335</v>
      </c>
      <c r="DL8" s="21">
        <f t="shared" si="47"/>
        <v>1.7053060905863227</v>
      </c>
      <c r="DM8" s="21">
        <f t="shared" si="48"/>
        <v>2.080516836475188</v>
      </c>
      <c r="DN8" s="21">
        <f t="shared" si="49"/>
        <v>1.3106416345951999</v>
      </c>
      <c r="DP8" s="21">
        <f t="shared" si="50"/>
        <v>1.9259367867271671</v>
      </c>
      <c r="DQ8" s="21">
        <f t="shared" si="51"/>
        <v>-1.6599122451923094</v>
      </c>
      <c r="DR8" s="21">
        <f t="shared" si="52"/>
        <v>4.0618026285266451</v>
      </c>
      <c r="DS8" s="21">
        <f t="shared" si="53"/>
        <v>3.1356684446352423</v>
      </c>
      <c r="DT8" s="21">
        <f t="shared" si="54"/>
        <v>0.69454677316875824</v>
      </c>
      <c r="DU8" s="21"/>
      <c r="DV8" s="11">
        <f t="shared" si="55"/>
        <v>-1066</v>
      </c>
      <c r="DW8" s="11">
        <f t="shared" si="56"/>
        <v>-1203</v>
      </c>
      <c r="DX8" s="11">
        <f t="shared" si="57"/>
        <v>4168</v>
      </c>
      <c r="DY8" s="11">
        <f t="shared" si="58"/>
        <v>-2017</v>
      </c>
      <c r="DZ8" s="11">
        <f t="shared" si="59"/>
        <v>-1450</v>
      </c>
      <c r="EA8" s="11">
        <f t="shared" si="60"/>
        <v>-564</v>
      </c>
      <c r="EB8" s="11">
        <f t="shared" si="61"/>
        <v>42987</v>
      </c>
      <c r="EC8" s="11">
        <f t="shared" si="62"/>
        <v>1499</v>
      </c>
      <c r="ED8" s="11">
        <f t="shared" si="63"/>
        <v>41471</v>
      </c>
      <c r="EE8" s="11">
        <f t="shared" si="64"/>
        <v>-310</v>
      </c>
      <c r="EF8" s="11">
        <f t="shared" si="65"/>
        <v>327</v>
      </c>
      <c r="EG8" s="21">
        <f t="shared" si="0"/>
        <v>2.7146892962170988E-2</v>
      </c>
      <c r="EH8" s="21">
        <f t="shared" si="1"/>
        <v>-2.852876493098333</v>
      </c>
      <c r="EI8" s="21">
        <f t="shared" si="2"/>
        <v>11.280428076945114</v>
      </c>
      <c r="EJ8" s="21">
        <f t="shared" si="3"/>
        <v>-0.90699755285660322</v>
      </c>
      <c r="EK8" s="21">
        <f t="shared" si="4"/>
        <v>-1.2140664911028831</v>
      </c>
      <c r="EL8" s="21">
        <f t="shared" si="5"/>
        <v>-0.37085672443250006</v>
      </c>
      <c r="EM8" s="21">
        <f t="shared" si="6"/>
        <v>17.729121545254678</v>
      </c>
      <c r="EN8" s="21">
        <f t="shared" si="7"/>
        <v>15.159035641583873</v>
      </c>
      <c r="EO8" s="21">
        <f t="shared" si="8"/>
        <v>54.006249908854386</v>
      </c>
      <c r="EP8" s="21">
        <f t="shared" si="9"/>
        <v>-0.45415869712379653</v>
      </c>
      <c r="EQ8" s="21">
        <f t="shared" si="10"/>
        <v>0.55469718101333054</v>
      </c>
      <c r="ES8" s="21">
        <f t="shared" si="66"/>
        <v>-17.701974652292506</v>
      </c>
      <c r="ET8" s="21">
        <f t="shared" si="67"/>
        <v>-18.011912134682206</v>
      </c>
      <c r="EU8" s="21">
        <f t="shared" si="68"/>
        <v>-42.725821831909272</v>
      </c>
      <c r="EV8" s="21">
        <f t="shared" si="69"/>
        <v>-0.45283885573280669</v>
      </c>
      <c r="EW8" s="21">
        <f t="shared" si="70"/>
        <v>-1.7687636721162137</v>
      </c>
      <c r="EX8" s="21"/>
      <c r="EY8" s="23">
        <f t="shared" si="71"/>
        <v>46285.7</v>
      </c>
      <c r="EZ8" s="23">
        <f t="shared" si="72"/>
        <v>5329.4</v>
      </c>
      <c r="FA8" s="23">
        <f t="shared" si="73"/>
        <v>9767.2000000000007</v>
      </c>
      <c r="FB8" s="23">
        <f t="shared" si="74"/>
        <v>17432.900000000001</v>
      </c>
      <c r="FC8" s="23">
        <f t="shared" si="75"/>
        <v>4488.2</v>
      </c>
      <c r="FD8" s="23">
        <f t="shared" si="76"/>
        <v>9268</v>
      </c>
      <c r="FE8" s="23">
        <f t="shared" si="77"/>
        <v>54775.400000000009</v>
      </c>
      <c r="FF8" s="23">
        <f t="shared" si="78"/>
        <v>2543.1</v>
      </c>
      <c r="FG8" s="23">
        <f t="shared" si="79"/>
        <v>42575.8</v>
      </c>
      <c r="FH8" s="23">
        <f t="shared" si="80"/>
        <v>820.3</v>
      </c>
      <c r="FI8" s="23">
        <f t="shared" si="81"/>
        <v>8836.2000000000007</v>
      </c>
      <c r="FJ8" s="21">
        <f t="shared" si="82"/>
        <v>10.986090556848049</v>
      </c>
      <c r="FK8" s="21">
        <f t="shared" si="83"/>
        <v>14.125582708990759</v>
      </c>
      <c r="FL8" s="21">
        <f t="shared" si="84"/>
        <v>26.066412246105774</v>
      </c>
      <c r="FM8" s="21">
        <f t="shared" si="85"/>
        <v>10.479983277094496</v>
      </c>
      <c r="FN8" s="21">
        <f t="shared" si="86"/>
        <v>4.8794498420767107</v>
      </c>
      <c r="FO8" s="21">
        <f t="shared" si="87"/>
        <v>10.868228785290057</v>
      </c>
      <c r="FP8" s="21">
        <f t="shared" si="88"/>
        <v>22.515908665031748</v>
      </c>
      <c r="FQ8" s="21">
        <f t="shared" si="89"/>
        <v>25.527022975668334</v>
      </c>
      <c r="FR8" s="21">
        <f t="shared" si="90"/>
        <v>55.43769707827888</v>
      </c>
      <c r="FS8" s="21">
        <f t="shared" si="91"/>
        <v>2.2002874769028402</v>
      </c>
      <c r="FT8" s="21">
        <f t="shared" si="92"/>
        <v>7.8626755318642383</v>
      </c>
      <c r="FV8" s="21">
        <f t="shared" si="93"/>
        <v>-11.529818108183699</v>
      </c>
      <c r="FW8" s="21">
        <f t="shared" si="94"/>
        <v>-11.401440266677575</v>
      </c>
      <c r="FX8" s="21">
        <f t="shared" si="95"/>
        <v>-29.371284832173107</v>
      </c>
      <c r="FY8" s="21">
        <f t="shared" si="96"/>
        <v>8.2796958001916554</v>
      </c>
      <c r="FZ8" s="21">
        <f t="shared" si="97"/>
        <v>-2.9832256897875276</v>
      </c>
      <c r="GB8" s="23">
        <f t="shared" si="98"/>
        <v>14493.7</v>
      </c>
      <c r="GC8" s="23">
        <f t="shared" si="99"/>
        <v>2147.4</v>
      </c>
      <c r="GD8" s="23">
        <f t="shared" si="100"/>
        <v>6248.2</v>
      </c>
      <c r="GE8" s="23">
        <f t="shared" si="101"/>
        <v>6424.9</v>
      </c>
      <c r="GF8" s="23">
        <f t="shared" si="102"/>
        <v>237.20000000000005</v>
      </c>
      <c r="GG8" s="23">
        <f t="shared" si="103"/>
        <v>-564</v>
      </c>
      <c r="GH8" s="23">
        <f t="shared" si="104"/>
        <v>47112.4</v>
      </c>
      <c r="GI8" s="23">
        <f t="shared" si="105"/>
        <v>2543.1</v>
      </c>
      <c r="GJ8" s="23">
        <f t="shared" si="106"/>
        <v>42575.8</v>
      </c>
      <c r="GK8" s="23">
        <f t="shared" si="107"/>
        <v>459.29999999999995</v>
      </c>
      <c r="GL8" s="23">
        <f t="shared" si="108"/>
        <v>1534.2</v>
      </c>
      <c r="GM8" s="21">
        <f t="shared" si="109"/>
        <v>3.6282398996961396</v>
      </c>
      <c r="GN8" s="21">
        <f t="shared" si="110"/>
        <v>5.8551985957938424</v>
      </c>
      <c r="GO8" s="21">
        <f t="shared" si="111"/>
        <v>16.773677874896254</v>
      </c>
      <c r="GP8" s="21">
        <f t="shared" si="112"/>
        <v>4.0353288070919868</v>
      </c>
      <c r="GQ8" s="21">
        <f t="shared" si="113"/>
        <v>0.51726299549921251</v>
      </c>
      <c r="GR8" s="21">
        <f t="shared" si="114"/>
        <v>-0.37085672443250006</v>
      </c>
      <c r="GS8" s="21">
        <f t="shared" si="115"/>
        <v>19.40427776526148</v>
      </c>
      <c r="GT8" s="21">
        <f t="shared" si="116"/>
        <v>25.527022975668334</v>
      </c>
      <c r="GU8" s="21">
        <f t="shared" si="117"/>
        <v>55.43769707827888</v>
      </c>
      <c r="GV8" s="21">
        <f t="shared" si="118"/>
        <v>1.3524992181895401</v>
      </c>
      <c r="GW8" s="21">
        <f t="shared" si="119"/>
        <v>1.591479894446679</v>
      </c>
      <c r="GY8" s="21">
        <f t="shared" si="120"/>
        <v>-15.776037865565339</v>
      </c>
      <c r="GZ8" s="21">
        <f t="shared" si="121"/>
        <v>-19.671824379874494</v>
      </c>
      <c r="HA8" s="21">
        <f t="shared" si="122"/>
        <v>-38.664019203382622</v>
      </c>
      <c r="HB8" s="21">
        <f t="shared" si="123"/>
        <v>2.6828295889024467</v>
      </c>
      <c r="HC8" s="21">
        <f t="shared" si="124"/>
        <v>-1.0742168989474665</v>
      </c>
      <c r="HF8" s="44">
        <f t="shared" si="125"/>
        <v>3.2594711887442278E-2</v>
      </c>
      <c r="HG8" s="44">
        <f t="shared" si="126"/>
        <v>1.8017237341327461E-2</v>
      </c>
      <c r="HH8" s="8"/>
      <c r="HI8" s="44">
        <f t="shared" si="11"/>
        <v>3.5422564625391395</v>
      </c>
      <c r="HJ8" s="44">
        <f t="shared" si="12"/>
        <v>2.080516836475188</v>
      </c>
      <c r="HK8" s="8"/>
      <c r="HL8" s="44">
        <f t="shared" si="127"/>
        <v>1.4617396260639515</v>
      </c>
      <c r="HN8" s="9">
        <v>0</v>
      </c>
      <c r="HP8" s="57"/>
    </row>
    <row r="9" spans="1:224" s="11" customFormat="1" ht="15">
      <c r="A9" s="11">
        <v>2006</v>
      </c>
      <c r="B9" s="61">
        <v>558106</v>
      </c>
      <c r="C9" s="61">
        <v>51915</v>
      </c>
      <c r="D9" s="61">
        <v>27737</v>
      </c>
      <c r="E9" s="61">
        <v>16391</v>
      </c>
      <c r="F9" s="61">
        <v>7787</v>
      </c>
      <c r="G9" s="61">
        <v>53476</v>
      </c>
      <c r="H9" s="61">
        <v>7871</v>
      </c>
      <c r="I9" s="61">
        <v>5846</v>
      </c>
      <c r="J9" s="61">
        <v>2145</v>
      </c>
      <c r="K9" s="61">
        <v>-120</v>
      </c>
      <c r="L9" s="61">
        <v>60714</v>
      </c>
      <c r="M9" s="61">
        <v>12515</v>
      </c>
      <c r="N9" s="61">
        <v>3055</v>
      </c>
      <c r="O9" s="61">
        <v>2837</v>
      </c>
      <c r="P9" s="61">
        <v>6623</v>
      </c>
      <c r="Q9" s="61">
        <v>218043</v>
      </c>
      <c r="R9" s="61">
        <v>16749</v>
      </c>
      <c r="S9" s="61">
        <v>6634</v>
      </c>
      <c r="T9" s="61">
        <v>7784</v>
      </c>
      <c r="U9" s="61">
        <v>2331</v>
      </c>
      <c r="V9" s="61">
        <v>2739</v>
      </c>
      <c r="W9" s="61">
        <v>-365</v>
      </c>
      <c r="X9" s="61">
        <v>2451</v>
      </c>
      <c r="Y9" s="61">
        <v>1</v>
      </c>
      <c r="Z9" s="61">
        <v>-2817</v>
      </c>
      <c r="AA9" s="61">
        <v>116698</v>
      </c>
      <c r="AB9" s="61">
        <v>8154</v>
      </c>
      <c r="AC9" s="61">
        <v>6031</v>
      </c>
      <c r="AD9" s="61">
        <v>706</v>
      </c>
      <c r="AE9" s="61">
        <v>1416</v>
      </c>
      <c r="AF9" s="61">
        <v>106435</v>
      </c>
      <c r="AG9" s="61">
        <v>6992</v>
      </c>
      <c r="AH9" s="61">
        <v>3720</v>
      </c>
      <c r="AI9" s="61">
        <v>2919</v>
      </c>
      <c r="AJ9" s="61">
        <v>354</v>
      </c>
      <c r="AK9" s="61">
        <v>343024</v>
      </c>
      <c r="AL9" s="61">
        <v>17532</v>
      </c>
      <c r="AM9" s="61">
        <v>12202</v>
      </c>
      <c r="AN9" s="61">
        <v>1184</v>
      </c>
      <c r="AO9" s="61">
        <v>4146</v>
      </c>
      <c r="AP9" s="61">
        <v>12803</v>
      </c>
      <c r="AQ9" s="61">
        <v>900</v>
      </c>
      <c r="AR9" s="61">
        <v>-757</v>
      </c>
      <c r="AS9" s="61">
        <v>0</v>
      </c>
      <c r="AT9" s="61">
        <v>1657</v>
      </c>
      <c r="AU9" s="61">
        <v>149277</v>
      </c>
      <c r="AV9" s="61">
        <v>16434</v>
      </c>
      <c r="AW9" s="61">
        <v>9855</v>
      </c>
      <c r="AX9" s="61">
        <v>0</v>
      </c>
      <c r="AY9" s="61">
        <v>6579</v>
      </c>
      <c r="AZ9" s="61">
        <v>60419</v>
      </c>
      <c r="BA9" s="61">
        <v>11302</v>
      </c>
      <c r="BB9" s="61">
        <v>12343</v>
      </c>
      <c r="BC9" s="61">
        <v>448</v>
      </c>
      <c r="BD9" s="61">
        <v>-1489</v>
      </c>
      <c r="BE9" s="61">
        <v>3587</v>
      </c>
      <c r="BF9" s="61">
        <v>-334</v>
      </c>
      <c r="BG9" s="61">
        <v>2837</v>
      </c>
      <c r="BH9" s="61">
        <v>0</v>
      </c>
      <c r="BI9" s="61">
        <v>-3170</v>
      </c>
      <c r="BJ9" s="61">
        <v>116938</v>
      </c>
      <c r="BK9" s="61">
        <v>-10771</v>
      </c>
      <c r="BL9" s="61">
        <v>-12077</v>
      </c>
      <c r="BM9" s="61">
        <v>736</v>
      </c>
      <c r="BN9" s="61">
        <v>570</v>
      </c>
      <c r="BP9" s="54">
        <f>yield!M14</f>
        <v>0.24066390041427599</v>
      </c>
      <c r="BQ9" s="9"/>
      <c r="BR9" s="11">
        <f t="shared" si="13"/>
        <v>26995</v>
      </c>
      <c r="BS9" s="11">
        <f t="shared" si="14"/>
        <v>2025</v>
      </c>
      <c r="BT9" s="11">
        <f t="shared" si="15"/>
        <v>9460</v>
      </c>
      <c r="BU9" s="11">
        <f t="shared" si="16"/>
        <v>10115</v>
      </c>
      <c r="BV9" s="11">
        <f t="shared" si="17"/>
        <v>2123</v>
      </c>
      <c r="BW9" s="11">
        <f t="shared" si="18"/>
        <v>3272</v>
      </c>
      <c r="BX9" s="11">
        <f t="shared" si="19"/>
        <v>8501</v>
      </c>
      <c r="BY9" s="11">
        <f t="shared" si="20"/>
        <v>1657</v>
      </c>
      <c r="BZ9" s="11">
        <f t="shared" si="21"/>
        <v>6579</v>
      </c>
      <c r="CA9" s="11">
        <f t="shared" si="22"/>
        <v>-1041</v>
      </c>
      <c r="CB9" s="11">
        <f t="shared" si="23"/>
        <v>1306</v>
      </c>
      <c r="CC9" s="21">
        <f t="shared" si="24"/>
        <v>5.1129235818911711</v>
      </c>
      <c r="CD9" s="21">
        <f t="shared" si="25"/>
        <v>4.1895559492275636</v>
      </c>
      <c r="CE9" s="21">
        <f t="shared" si="26"/>
        <v>19.339755504662072</v>
      </c>
      <c r="CF9" s="21">
        <f t="shared" si="27"/>
        <v>4.7728379272034438</v>
      </c>
      <c r="CG9" s="21">
        <f t="shared" si="28"/>
        <v>1.7111069390180811</v>
      </c>
      <c r="CH9" s="21">
        <f t="shared" si="29"/>
        <v>3.0423414041684582</v>
      </c>
      <c r="CI9" s="21">
        <f t="shared" si="30"/>
        <v>2.3971429750315076</v>
      </c>
      <c r="CJ9" s="21">
        <f t="shared" si="31"/>
        <v>13.647352136952161</v>
      </c>
      <c r="CK9" s="21">
        <f t="shared" si="32"/>
        <v>4.700486407171045</v>
      </c>
      <c r="CL9" s="21">
        <f t="shared" si="33"/>
        <v>-2.3544267633610838</v>
      </c>
      <c r="CM9" s="21">
        <f t="shared" si="34"/>
        <v>0.78009609212255082</v>
      </c>
      <c r="CN9" s="21"/>
      <c r="CO9" s="21">
        <f t="shared" si="35"/>
        <v>2.7157806068596635</v>
      </c>
      <c r="CP9" s="21">
        <f t="shared" si="36"/>
        <v>-9.4577961877245968</v>
      </c>
      <c r="CQ9" s="21">
        <f t="shared" si="37"/>
        <v>14.639269097491027</v>
      </c>
      <c r="CR9" s="21">
        <f t="shared" si="38"/>
        <v>7.1272646905645276</v>
      </c>
      <c r="CS9" s="21">
        <f t="shared" si="39"/>
        <v>0.93101084689553026</v>
      </c>
      <c r="CU9" s="23">
        <f>Balance_on_income!B14</f>
        <v>19330.900000000001</v>
      </c>
      <c r="CV9" s="23">
        <f>Balance_on_income!C14</f>
        <v>4082.7</v>
      </c>
      <c r="CW9" s="23">
        <f>Balance_on_income!D14</f>
        <v>2705.9</v>
      </c>
      <c r="CX9" s="23">
        <f>Balance_on_income!E14</f>
        <v>10303.4</v>
      </c>
      <c r="CY9" s="23">
        <f>Balance_on_income!F14</f>
        <v>2238.9</v>
      </c>
      <c r="CZ9" s="23">
        <f>Balance_on_income!G14</f>
        <v>5516.7</v>
      </c>
      <c r="DA9" s="23">
        <f>Balance_on_income!H14</f>
        <v>1048.8</v>
      </c>
      <c r="DB9" s="23">
        <f>Balance_on_income!I14</f>
        <v>1609</v>
      </c>
      <c r="DC9" s="23">
        <f>Balance_on_income!J14</f>
        <v>844.7</v>
      </c>
      <c r="DD9" s="23">
        <f>Balance_on_income!K14</f>
        <v>2014.2</v>
      </c>
      <c r="DE9" s="21">
        <f t="shared" si="40"/>
        <v>3.5931606072006073</v>
      </c>
      <c r="DF9" s="21">
        <f t="shared" si="41"/>
        <v>8.6907285143488231</v>
      </c>
      <c r="DG9" s="21">
        <f t="shared" si="42"/>
        <v>5.3604523142834815</v>
      </c>
      <c r="DH9" s="21">
        <f t="shared" si="43"/>
        <v>4.8662076639009566</v>
      </c>
      <c r="DI9" s="21">
        <f t="shared" si="44"/>
        <v>1.8176275575785494</v>
      </c>
      <c r="DJ9" s="21">
        <f t="shared" si="45"/>
        <v>1.4713362783904893</v>
      </c>
      <c r="DK9" s="21">
        <f t="shared" si="46"/>
        <v>8.5499834371222327</v>
      </c>
      <c r="DL9" s="21">
        <f t="shared" si="47"/>
        <v>0.96821017068295934</v>
      </c>
      <c r="DM9" s="21">
        <f t="shared" si="48"/>
        <v>1.4755561273188889</v>
      </c>
      <c r="DN9" s="21">
        <f t="shared" si="49"/>
        <v>1.3333066804451565</v>
      </c>
      <c r="DP9" s="21">
        <f t="shared" si="50"/>
        <v>2.121824328810118</v>
      </c>
      <c r="DQ9" s="21">
        <f t="shared" si="51"/>
        <v>0.14074507722659035</v>
      </c>
      <c r="DR9" s="21">
        <f t="shared" si="52"/>
        <v>4.3922421436005221</v>
      </c>
      <c r="DS9" s="21">
        <f t="shared" si="53"/>
        <v>3.3906515365820677</v>
      </c>
      <c r="DT9" s="21">
        <f t="shared" si="54"/>
        <v>0.48432087713339289</v>
      </c>
      <c r="DU9" s="21"/>
      <c r="DV9" s="11">
        <f t="shared" si="55"/>
        <v>10604</v>
      </c>
      <c r="DW9" s="11">
        <f t="shared" si="56"/>
        <v>-120</v>
      </c>
      <c r="DX9" s="11">
        <f t="shared" si="57"/>
        <v>6623</v>
      </c>
      <c r="DY9" s="11">
        <f t="shared" si="58"/>
        <v>2331</v>
      </c>
      <c r="DZ9" s="11">
        <f t="shared" si="59"/>
        <v>1417</v>
      </c>
      <c r="EA9" s="11">
        <f t="shared" si="60"/>
        <v>353</v>
      </c>
      <c r="EB9" s="11">
        <f t="shared" si="61"/>
        <v>7317</v>
      </c>
      <c r="EC9" s="11">
        <f t="shared" si="62"/>
        <v>1657</v>
      </c>
      <c r="ED9" s="11">
        <f t="shared" si="63"/>
        <v>6579</v>
      </c>
      <c r="EE9" s="11">
        <f t="shared" si="64"/>
        <v>-1489</v>
      </c>
      <c r="EF9" s="11">
        <f t="shared" si="65"/>
        <v>570</v>
      </c>
      <c r="EG9" s="21">
        <f t="shared" si="0"/>
        <v>1.862648283010282</v>
      </c>
      <c r="EH9" s="21">
        <f t="shared" si="1"/>
        <v>-0.50258340645358279</v>
      </c>
      <c r="EI9" s="21">
        <f t="shared" si="2"/>
        <v>13.467872774008981</v>
      </c>
      <c r="EJ9" s="21">
        <f t="shared" si="3"/>
        <v>0.91514137490269487</v>
      </c>
      <c r="EK9" s="21">
        <f t="shared" si="4"/>
        <v>1.0622410485634282</v>
      </c>
      <c r="EL9" s="21">
        <f t="shared" si="5"/>
        <v>0.1140388723204433</v>
      </c>
      <c r="EM9" s="21">
        <f t="shared" si="6"/>
        <v>2.0298356906355286</v>
      </c>
      <c r="EN9" s="21">
        <f t="shared" si="7"/>
        <v>13.647352136952161</v>
      </c>
      <c r="EO9" s="21">
        <f t="shared" si="8"/>
        <v>4.700486407171045</v>
      </c>
      <c r="EP9" s="21">
        <f t="shared" si="9"/>
        <v>-3.2643447434345996</v>
      </c>
      <c r="EQ9" s="21">
        <f t="shared" si="10"/>
        <v>0.20516952758506957</v>
      </c>
      <c r="ES9" s="21">
        <f t="shared" si="66"/>
        <v>-0.16718740762524664</v>
      </c>
      <c r="ET9" s="21">
        <f t="shared" si="67"/>
        <v>-14.149935543405745</v>
      </c>
      <c r="EU9" s="21">
        <f t="shared" si="68"/>
        <v>8.7673863668379362</v>
      </c>
      <c r="EV9" s="21">
        <f t="shared" si="69"/>
        <v>4.1794861183372944</v>
      </c>
      <c r="EW9" s="21">
        <f t="shared" si="70"/>
        <v>0.85707152097835859</v>
      </c>
      <c r="EX9" s="21"/>
      <c r="EY9" s="23">
        <f t="shared" si="71"/>
        <v>46325.9</v>
      </c>
      <c r="EZ9" s="23">
        <f t="shared" si="72"/>
        <v>6107.7</v>
      </c>
      <c r="FA9" s="23">
        <f t="shared" si="73"/>
        <v>12165.9</v>
      </c>
      <c r="FB9" s="23">
        <f t="shared" si="74"/>
        <v>20418.400000000001</v>
      </c>
      <c r="FC9" s="23">
        <f t="shared" si="75"/>
        <v>4361.8999999999996</v>
      </c>
      <c r="FD9" s="23">
        <f t="shared" si="76"/>
        <v>3272</v>
      </c>
      <c r="FE9" s="23">
        <f t="shared" si="77"/>
        <v>14017.7</v>
      </c>
      <c r="FF9" s="23">
        <f t="shared" si="78"/>
        <v>2705.8</v>
      </c>
      <c r="FG9" s="23">
        <f t="shared" si="79"/>
        <v>8188</v>
      </c>
      <c r="FH9" s="23">
        <f t="shared" si="80"/>
        <v>-196.29999999999995</v>
      </c>
      <c r="FI9" s="23">
        <f t="shared" si="81"/>
        <v>3320.2</v>
      </c>
      <c r="FJ9" s="21">
        <f t="shared" si="82"/>
        <v>8.9461702889338532</v>
      </c>
      <c r="FK9" s="21">
        <f t="shared" si="83"/>
        <v>13.120370563418437</v>
      </c>
      <c r="FL9" s="21">
        <f t="shared" si="84"/>
        <v>24.940293918787624</v>
      </c>
      <c r="FM9" s="21">
        <f t="shared" si="85"/>
        <v>9.8791316909464744</v>
      </c>
      <c r="FN9" s="21">
        <f t="shared" si="86"/>
        <v>3.7688205964387267</v>
      </c>
      <c r="FO9" s="21">
        <f t="shared" si="87"/>
        <v>3.0423414041684582</v>
      </c>
      <c r="FP9" s="21">
        <f t="shared" si="88"/>
        <v>4.1085653532640931</v>
      </c>
      <c r="FQ9" s="21">
        <f t="shared" si="89"/>
        <v>22.437421673916447</v>
      </c>
      <c r="FR9" s="21">
        <f t="shared" si="90"/>
        <v>5.9087826776960561</v>
      </c>
      <c r="FS9" s="21">
        <f t="shared" si="91"/>
        <v>-0.6387845362001543</v>
      </c>
      <c r="FT9" s="21">
        <f t="shared" si="92"/>
        <v>2.3534888724097369</v>
      </c>
      <c r="FV9" s="21">
        <f t="shared" si="93"/>
        <v>4.8376049356697601</v>
      </c>
      <c r="FW9" s="21">
        <f t="shared" si="94"/>
        <v>-9.31705111049801</v>
      </c>
      <c r="FX9" s="21">
        <f t="shared" si="95"/>
        <v>19.031511241091568</v>
      </c>
      <c r="FY9" s="21">
        <f t="shared" si="96"/>
        <v>10.517916227146628</v>
      </c>
      <c r="FZ9" s="21">
        <f t="shared" si="97"/>
        <v>1.4153317240289898</v>
      </c>
      <c r="GB9" s="23">
        <f t="shared" si="98"/>
        <v>29934.9</v>
      </c>
      <c r="GC9" s="23">
        <f t="shared" si="99"/>
        <v>3962.7</v>
      </c>
      <c r="GD9" s="23">
        <f t="shared" si="100"/>
        <v>9328.9</v>
      </c>
      <c r="GE9" s="23">
        <f t="shared" si="101"/>
        <v>12634.4</v>
      </c>
      <c r="GF9" s="23">
        <f t="shared" si="102"/>
        <v>3655.9</v>
      </c>
      <c r="GG9" s="23">
        <f t="shared" si="103"/>
        <v>353</v>
      </c>
      <c r="GH9" s="23">
        <f t="shared" si="104"/>
        <v>12833.7</v>
      </c>
      <c r="GI9" s="23">
        <f t="shared" si="105"/>
        <v>2705.8</v>
      </c>
      <c r="GJ9" s="23">
        <f t="shared" si="106"/>
        <v>8188</v>
      </c>
      <c r="GK9" s="23">
        <f t="shared" si="107"/>
        <v>-644.29999999999995</v>
      </c>
      <c r="GL9" s="23">
        <f t="shared" si="108"/>
        <v>2584.1999999999998</v>
      </c>
      <c r="GM9" s="21">
        <f t="shared" si="109"/>
        <v>5.6958949900529854</v>
      </c>
      <c r="GN9" s="21">
        <f t="shared" si="110"/>
        <v>8.4282312077372801</v>
      </c>
      <c r="GO9" s="21">
        <f t="shared" si="111"/>
        <v>19.068411188134537</v>
      </c>
      <c r="GP9" s="21">
        <f t="shared" si="112"/>
        <v>6.0214351386457032</v>
      </c>
      <c r="GQ9" s="21">
        <f t="shared" si="113"/>
        <v>3.1199547059840294</v>
      </c>
      <c r="GR9" s="21">
        <f t="shared" si="114"/>
        <v>0.1140388723204433</v>
      </c>
      <c r="GS9" s="21">
        <f t="shared" si="115"/>
        <v>3.7412580688680919</v>
      </c>
      <c r="GT9" s="21">
        <f t="shared" si="116"/>
        <v>22.437421673916447</v>
      </c>
      <c r="GU9" s="21">
        <f t="shared" si="117"/>
        <v>5.9087826776960561</v>
      </c>
      <c r="GV9" s="21">
        <f t="shared" si="118"/>
        <v>-1.5487025162736701</v>
      </c>
      <c r="GW9" s="21">
        <f t="shared" si="119"/>
        <v>1.7785623078722779</v>
      </c>
      <c r="GY9" s="21">
        <f t="shared" si="120"/>
        <v>1.9546369211848935</v>
      </c>
      <c r="GZ9" s="21">
        <f t="shared" si="121"/>
        <v>-14.009190466179167</v>
      </c>
      <c r="HA9" s="21">
        <f t="shared" si="122"/>
        <v>13.15962851043848</v>
      </c>
      <c r="HB9" s="21">
        <f t="shared" si="123"/>
        <v>7.5701376549193728</v>
      </c>
      <c r="HC9" s="21">
        <f t="shared" si="124"/>
        <v>1.3413923981117515</v>
      </c>
      <c r="HF9" s="44">
        <f t="shared" si="125"/>
        <v>3.426050003823939E-2</v>
      </c>
      <c r="HG9" s="44">
        <f t="shared" si="126"/>
        <v>1.7197711586619705E-2</v>
      </c>
      <c r="HH9" s="8"/>
      <c r="HI9" s="44">
        <f t="shared" si="11"/>
        <v>3.17773843414908</v>
      </c>
      <c r="HJ9" s="44">
        <f t="shared" si="12"/>
        <v>1.4755561273188889</v>
      </c>
      <c r="HK9" s="8"/>
      <c r="HL9" s="44">
        <f t="shared" si="127"/>
        <v>1.7021823068301911</v>
      </c>
      <c r="HN9" s="9">
        <v>0</v>
      </c>
      <c r="HP9" s="57"/>
    </row>
    <row r="10" spans="1:224" s="11" customFormat="1" ht="15">
      <c r="A10" s="11">
        <v>2007</v>
      </c>
      <c r="B10" s="61">
        <v>610492</v>
      </c>
      <c r="C10" s="61">
        <v>52387</v>
      </c>
      <c r="D10" s="61">
        <v>58863</v>
      </c>
      <c r="E10" s="61">
        <v>-8251</v>
      </c>
      <c r="F10" s="61">
        <v>1776</v>
      </c>
      <c r="G10" s="61">
        <v>61858</v>
      </c>
      <c r="H10" s="61">
        <v>8382</v>
      </c>
      <c r="I10" s="61">
        <v>8661</v>
      </c>
      <c r="J10" s="61">
        <v>-269</v>
      </c>
      <c r="K10" s="61">
        <v>-9</v>
      </c>
      <c r="L10" s="61">
        <v>65376</v>
      </c>
      <c r="M10" s="61">
        <v>4661</v>
      </c>
      <c r="N10" s="61">
        <v>2958</v>
      </c>
      <c r="O10" s="61">
        <v>-780</v>
      </c>
      <c r="P10" s="61">
        <v>2483</v>
      </c>
      <c r="Q10" s="62">
        <v>222311</v>
      </c>
      <c r="R10" s="61">
        <v>4268</v>
      </c>
      <c r="S10" s="61">
        <v>9972</v>
      </c>
      <c r="T10" s="61">
        <v>-1345</v>
      </c>
      <c r="U10" s="61">
        <v>-4359</v>
      </c>
      <c r="V10" s="61">
        <v>4442</v>
      </c>
      <c r="W10" s="61">
        <v>1703</v>
      </c>
      <c r="X10" s="61">
        <v>3928</v>
      </c>
      <c r="Y10" s="61">
        <v>-5</v>
      </c>
      <c r="Z10" s="61">
        <v>-2221</v>
      </c>
      <c r="AA10" s="61">
        <v>146227</v>
      </c>
      <c r="AB10" s="61">
        <v>29529</v>
      </c>
      <c r="AC10" s="61">
        <v>29046</v>
      </c>
      <c r="AD10" s="61">
        <v>-2286</v>
      </c>
      <c r="AE10" s="61">
        <v>2769</v>
      </c>
      <c r="AF10" s="61">
        <v>110279</v>
      </c>
      <c r="AG10" s="61">
        <v>3844</v>
      </c>
      <c r="AH10" s="61">
        <v>4297</v>
      </c>
      <c r="AI10" s="61">
        <v>-3566</v>
      </c>
      <c r="AJ10" s="61">
        <v>3112</v>
      </c>
      <c r="AK10" s="61">
        <v>360271</v>
      </c>
      <c r="AL10" s="61">
        <v>17247</v>
      </c>
      <c r="AM10" s="61">
        <v>32414</v>
      </c>
      <c r="AN10" s="61">
        <v>-2860</v>
      </c>
      <c r="AO10" s="61">
        <v>-12307</v>
      </c>
      <c r="AP10" s="61">
        <v>15145</v>
      </c>
      <c r="AQ10" s="61">
        <v>2342</v>
      </c>
      <c r="AR10" s="61">
        <v>2655</v>
      </c>
      <c r="AS10" s="61">
        <v>0</v>
      </c>
      <c r="AT10" s="61">
        <v>-313</v>
      </c>
      <c r="AU10" s="61">
        <v>142031</v>
      </c>
      <c r="AV10" s="61">
        <v>-7245</v>
      </c>
      <c r="AW10" s="61">
        <v>5444</v>
      </c>
      <c r="AX10" s="61">
        <v>0</v>
      </c>
      <c r="AY10" s="61">
        <v>-12689</v>
      </c>
      <c r="AZ10" s="61">
        <v>79456</v>
      </c>
      <c r="BA10" s="61">
        <v>19037</v>
      </c>
      <c r="BB10" s="61">
        <v>19478</v>
      </c>
      <c r="BC10" s="61">
        <v>-36</v>
      </c>
      <c r="BD10" s="61">
        <v>-406</v>
      </c>
      <c r="BE10" s="61">
        <v>4964</v>
      </c>
      <c r="BF10" s="61">
        <v>1377</v>
      </c>
      <c r="BG10" s="61">
        <v>4203</v>
      </c>
      <c r="BH10" s="61">
        <v>0</v>
      </c>
      <c r="BI10" s="61">
        <v>-2825</v>
      </c>
      <c r="BJ10" s="61">
        <v>118674</v>
      </c>
      <c r="BK10" s="61">
        <v>1736</v>
      </c>
      <c r="BL10" s="61">
        <v>633</v>
      </c>
      <c r="BM10" s="61">
        <v>-2823</v>
      </c>
      <c r="BN10" s="61">
        <v>3926</v>
      </c>
      <c r="BP10" s="54">
        <f>yield!M15</f>
        <v>5.7951817204070298E-2</v>
      </c>
      <c r="BQ10" s="9"/>
      <c r="BR10" s="11">
        <f t="shared" si="13"/>
        <v>-4250</v>
      </c>
      <c r="BS10" s="11">
        <f t="shared" si="14"/>
        <v>-279</v>
      </c>
      <c r="BT10" s="11">
        <f t="shared" si="15"/>
        <v>1703</v>
      </c>
      <c r="BU10" s="11">
        <f t="shared" si="16"/>
        <v>-5704</v>
      </c>
      <c r="BV10" s="11">
        <f t="shared" si="17"/>
        <v>483</v>
      </c>
      <c r="BW10" s="11">
        <f t="shared" si="18"/>
        <v>-453</v>
      </c>
      <c r="BX10" s="11">
        <f t="shared" si="19"/>
        <v>-12340</v>
      </c>
      <c r="BY10" s="11">
        <f t="shared" si="20"/>
        <v>-313</v>
      </c>
      <c r="BZ10" s="11">
        <f t="shared" si="21"/>
        <v>-12689</v>
      </c>
      <c r="CA10" s="11">
        <f t="shared" si="22"/>
        <v>-441</v>
      </c>
      <c r="CB10" s="11">
        <f t="shared" si="23"/>
        <v>1103</v>
      </c>
      <c r="CC10" s="21">
        <f t="shared" si="24"/>
        <v>-0.82273475661391871</v>
      </c>
      <c r="CD10" s="21">
        <f t="shared" si="25"/>
        <v>-0.57934544991270487</v>
      </c>
      <c r="CE10" s="21">
        <f t="shared" si="26"/>
        <v>2.7453653712252724</v>
      </c>
      <c r="CF10" s="21">
        <f t="shared" si="27"/>
        <v>-2.6724008742438188</v>
      </c>
      <c r="CG10" s="21">
        <f t="shared" si="28"/>
        <v>0.35573087157412253</v>
      </c>
      <c r="CH10" s="21">
        <f t="shared" si="29"/>
        <v>-0.4832836213559899</v>
      </c>
      <c r="CI10" s="21">
        <f t="shared" si="30"/>
        <v>-3.691254989829218</v>
      </c>
      <c r="CJ10" s="21">
        <f t="shared" si="31"/>
        <v>-2.5012418162952188</v>
      </c>
      <c r="CK10" s="21">
        <f t="shared" si="32"/>
        <v>-8.5533567375701942</v>
      </c>
      <c r="CL10" s="21">
        <f t="shared" si="33"/>
        <v>-0.78739835068272201</v>
      </c>
      <c r="CM10" s="21">
        <f t="shared" si="34"/>
        <v>0.88477031891931457</v>
      </c>
      <c r="CN10" s="21"/>
      <c r="CO10" s="21">
        <f t="shared" si="35"/>
        <v>2.8685202332152993</v>
      </c>
      <c r="CP10" s="21">
        <f t="shared" si="36"/>
        <v>1.9218963663825139</v>
      </c>
      <c r="CQ10" s="21">
        <f t="shared" si="37"/>
        <v>11.298722108795467</v>
      </c>
      <c r="CR10" s="21">
        <f t="shared" si="38"/>
        <v>-1.8850025235610968</v>
      </c>
      <c r="CS10" s="21">
        <f t="shared" si="39"/>
        <v>-0.52903944734519204</v>
      </c>
      <c r="CU10" s="23">
        <f>Balance_on_income!B15</f>
        <v>23612.299999999996</v>
      </c>
      <c r="CV10" s="23">
        <f>Balance_on_income!C15</f>
        <v>5309.2</v>
      </c>
      <c r="CW10" s="23">
        <f>Balance_on_income!D15</f>
        <v>3363.7</v>
      </c>
      <c r="CX10" s="23">
        <f>Balance_on_income!E15</f>
        <v>11997.3</v>
      </c>
      <c r="CY10" s="23">
        <f>Balance_on_income!F15</f>
        <v>2942.1</v>
      </c>
      <c r="CZ10" s="23">
        <f>Balance_on_income!G15</f>
        <v>7138.4</v>
      </c>
      <c r="DA10" s="23">
        <f>Balance_on_income!H15</f>
        <v>1743.7</v>
      </c>
      <c r="DB10" s="23">
        <f>Balance_on_income!I15</f>
        <v>2031.7</v>
      </c>
      <c r="DC10" s="23">
        <f>Balance_on_income!J15</f>
        <v>1077.8</v>
      </c>
      <c r="DD10" s="23">
        <f>Balance_on_income!K15</f>
        <v>2285.1999999999998</v>
      </c>
      <c r="DE10" s="21">
        <f t="shared" si="40"/>
        <v>4.1912762744208631</v>
      </c>
      <c r="DF10" s="21">
        <f t="shared" si="41"/>
        <v>9.8645235982816928</v>
      </c>
      <c r="DG10" s="21">
        <f t="shared" si="42"/>
        <v>5.4790195778963158</v>
      </c>
      <c r="DH10" s="21">
        <f t="shared" si="43"/>
        <v>5.4411582477486009</v>
      </c>
      <c r="DI10" s="21">
        <f t="shared" si="44"/>
        <v>2.4617444555705692</v>
      </c>
      <c r="DJ10" s="21">
        <f t="shared" si="45"/>
        <v>2.0438816636489943</v>
      </c>
      <c r="DK10" s="21">
        <f t="shared" si="46"/>
        <v>13.553657779895767</v>
      </c>
      <c r="DL10" s="21">
        <f t="shared" si="47"/>
        <v>1.3023293926856194</v>
      </c>
      <c r="DM10" s="21">
        <f t="shared" si="48"/>
        <v>1.7249244907755479</v>
      </c>
      <c r="DN10" s="21">
        <f t="shared" si="49"/>
        <v>1.8951478612226236</v>
      </c>
      <c r="DP10" s="21">
        <f t="shared" si="50"/>
        <v>2.1473946107718689</v>
      </c>
      <c r="DQ10" s="21">
        <f t="shared" si="51"/>
        <v>-3.6891341816140741</v>
      </c>
      <c r="DR10" s="21">
        <f t="shared" si="52"/>
        <v>4.1766901852106963</v>
      </c>
      <c r="DS10" s="21">
        <f t="shared" si="53"/>
        <v>3.716233756973053</v>
      </c>
      <c r="DT10" s="21">
        <f t="shared" si="54"/>
        <v>0.56659659434794563</v>
      </c>
      <c r="DU10" s="21"/>
      <c r="DV10" s="11">
        <f t="shared" si="55"/>
        <v>3996</v>
      </c>
      <c r="DW10" s="11">
        <f t="shared" si="56"/>
        <v>-10</v>
      </c>
      <c r="DX10" s="11">
        <f t="shared" si="57"/>
        <v>2483</v>
      </c>
      <c r="DY10" s="11">
        <f t="shared" si="58"/>
        <v>-4359</v>
      </c>
      <c r="DZ10" s="11">
        <f t="shared" si="59"/>
        <v>2769</v>
      </c>
      <c r="EA10" s="11">
        <f t="shared" si="60"/>
        <v>3113</v>
      </c>
      <c r="EB10" s="11">
        <f t="shared" si="61"/>
        <v>-9481</v>
      </c>
      <c r="EC10" s="11">
        <f t="shared" si="62"/>
        <v>-313</v>
      </c>
      <c r="ED10" s="11">
        <f t="shared" si="63"/>
        <v>-12689</v>
      </c>
      <c r="EE10" s="11">
        <f t="shared" si="64"/>
        <v>-405</v>
      </c>
      <c r="EF10" s="11">
        <f t="shared" si="65"/>
        <v>3926</v>
      </c>
      <c r="EG10" s="21">
        <f t="shared" si="0"/>
        <v>0.66118921814455334</v>
      </c>
      <c r="EH10" s="21">
        <f t="shared" si="1"/>
        <v>-7.660739938403216E-2</v>
      </c>
      <c r="EI10" s="21">
        <f t="shared" si="2"/>
        <v>4.0293120691258011</v>
      </c>
      <c r="EJ10" s="21">
        <f t="shared" si="3"/>
        <v>-2.0559073387927618</v>
      </c>
      <c r="EK10" s="21">
        <f t="shared" si="4"/>
        <v>2.3134987756918468</v>
      </c>
      <c r="EL10" s="21">
        <f t="shared" si="5"/>
        <v>2.865177538145125</v>
      </c>
      <c r="EM10" s="21">
        <f t="shared" si="6"/>
        <v>-2.8494632773531259</v>
      </c>
      <c r="EN10" s="21">
        <f t="shared" si="7"/>
        <v>-2.5012418162952188</v>
      </c>
      <c r="EO10" s="21">
        <f t="shared" si="8"/>
        <v>-8.5533567375701942</v>
      </c>
      <c r="EP10" s="21">
        <f t="shared" si="9"/>
        <v>-0.72784895491467827</v>
      </c>
      <c r="EQ10" s="21">
        <f t="shared" si="10"/>
        <v>3.2974718938831638</v>
      </c>
      <c r="ES10" s="21">
        <f t="shared" si="66"/>
        <v>3.5106524954976792</v>
      </c>
      <c r="ET10" s="21">
        <f t="shared" si="67"/>
        <v>2.4246344169111866</v>
      </c>
      <c r="EU10" s="21">
        <f t="shared" si="68"/>
        <v>12.582668806695995</v>
      </c>
      <c r="EV10" s="21">
        <f t="shared" si="69"/>
        <v>-1.3280583838780835</v>
      </c>
      <c r="EW10" s="21">
        <f t="shared" si="70"/>
        <v>-0.98397311819131694</v>
      </c>
      <c r="EX10" s="21"/>
      <c r="EY10" s="23">
        <f t="shared" si="71"/>
        <v>19362.299999999996</v>
      </c>
      <c r="EZ10" s="23">
        <f t="shared" si="72"/>
        <v>5030.2</v>
      </c>
      <c r="FA10" s="23">
        <f t="shared" si="73"/>
        <v>5066.7</v>
      </c>
      <c r="FB10" s="23">
        <f t="shared" si="74"/>
        <v>6293.2999999999993</v>
      </c>
      <c r="FC10" s="23">
        <f t="shared" si="75"/>
        <v>3425.1</v>
      </c>
      <c r="FD10" s="23">
        <f t="shared" si="76"/>
        <v>-453</v>
      </c>
      <c r="FE10" s="23">
        <f t="shared" si="77"/>
        <v>-5201.5999999999995</v>
      </c>
      <c r="FF10" s="23">
        <f t="shared" si="78"/>
        <v>1430.7</v>
      </c>
      <c r="FG10" s="23">
        <f t="shared" si="79"/>
        <v>-10657.3</v>
      </c>
      <c r="FH10" s="23">
        <f t="shared" si="80"/>
        <v>636.79999999999995</v>
      </c>
      <c r="FI10" s="23">
        <f t="shared" si="81"/>
        <v>3388.2</v>
      </c>
      <c r="FJ10" s="21">
        <f t="shared" si="82"/>
        <v>3.4264597703312027</v>
      </c>
      <c r="FK10" s="21">
        <f t="shared" si="83"/>
        <v>9.343096400893236</v>
      </c>
      <c r="FL10" s="21">
        <f t="shared" si="84"/>
        <v>8.2823032016458242</v>
      </c>
      <c r="FM10" s="21">
        <f t="shared" si="85"/>
        <v>2.8266756260290071</v>
      </c>
      <c r="FN10" s="21">
        <f t="shared" si="86"/>
        <v>2.8753935796689278</v>
      </c>
      <c r="FO10" s="21">
        <f t="shared" si="87"/>
        <v>-0.4832836213559899</v>
      </c>
      <c r="FP10" s="21">
        <f t="shared" si="88"/>
        <v>-1.5894550736559654</v>
      </c>
      <c r="FQ10" s="21">
        <f t="shared" si="89"/>
        <v>11.110334216124773</v>
      </c>
      <c r="FR10" s="21">
        <f t="shared" si="90"/>
        <v>-7.1931090923603396</v>
      </c>
      <c r="FS10" s="21">
        <f t="shared" si="91"/>
        <v>0.99544439261705087</v>
      </c>
      <c r="FT10" s="21">
        <f t="shared" si="92"/>
        <v>2.8378364326661965</v>
      </c>
      <c r="FV10" s="21">
        <f t="shared" si="93"/>
        <v>5.0159148439871686</v>
      </c>
      <c r="FW10" s="21">
        <f t="shared" si="94"/>
        <v>-1.7672378152315371</v>
      </c>
      <c r="FX10" s="21">
        <f t="shared" si="95"/>
        <v>15.475412294006164</v>
      </c>
      <c r="FY10" s="21">
        <f t="shared" si="96"/>
        <v>1.8312312334119563</v>
      </c>
      <c r="FZ10" s="21">
        <f t="shared" si="97"/>
        <v>3.7557147002731384E-2</v>
      </c>
      <c r="GB10" s="23">
        <f t="shared" si="98"/>
        <v>27608.299999999996</v>
      </c>
      <c r="GC10" s="23">
        <f t="shared" si="99"/>
        <v>5299.2</v>
      </c>
      <c r="GD10" s="23">
        <f t="shared" si="100"/>
        <v>5846.7</v>
      </c>
      <c r="GE10" s="23">
        <f t="shared" si="101"/>
        <v>7638.2999999999993</v>
      </c>
      <c r="GF10" s="23">
        <f t="shared" si="102"/>
        <v>5711.1</v>
      </c>
      <c r="GG10" s="23">
        <f t="shared" si="103"/>
        <v>3113</v>
      </c>
      <c r="GH10" s="23">
        <f t="shared" si="104"/>
        <v>-2342.5999999999995</v>
      </c>
      <c r="GI10" s="23">
        <f t="shared" si="105"/>
        <v>1430.7</v>
      </c>
      <c r="GJ10" s="23">
        <f t="shared" si="106"/>
        <v>-10657.3</v>
      </c>
      <c r="GK10" s="23">
        <f t="shared" si="107"/>
        <v>672.8</v>
      </c>
      <c r="GL10" s="23">
        <f t="shared" si="108"/>
        <v>6211.2</v>
      </c>
      <c r="GM10" s="21">
        <f t="shared" si="109"/>
        <v>4.9103837450896526</v>
      </c>
      <c r="GN10" s="21">
        <f t="shared" si="110"/>
        <v>9.8458344514219078</v>
      </c>
      <c r="GO10" s="21">
        <f t="shared" si="111"/>
        <v>9.566249899546353</v>
      </c>
      <c r="GP10" s="21">
        <f t="shared" si="112"/>
        <v>3.4431691614800863</v>
      </c>
      <c r="GQ10" s="21">
        <f t="shared" si="113"/>
        <v>4.8331614837866743</v>
      </c>
      <c r="GR10" s="21">
        <f t="shared" si="114"/>
        <v>2.865177538145125</v>
      </c>
      <c r="GS10" s="21">
        <f t="shared" si="115"/>
        <v>-0.74766336117988441</v>
      </c>
      <c r="GT10" s="21">
        <f t="shared" si="116"/>
        <v>11.110334216124773</v>
      </c>
      <c r="GU10" s="21">
        <f t="shared" si="117"/>
        <v>-7.1931090923603396</v>
      </c>
      <c r="GV10" s="21">
        <f t="shared" si="118"/>
        <v>1.0549937883850946</v>
      </c>
      <c r="GW10" s="21">
        <f t="shared" si="119"/>
        <v>5.2505380076300456</v>
      </c>
      <c r="GY10" s="21">
        <f t="shared" si="120"/>
        <v>5.658047106269537</v>
      </c>
      <c r="GZ10" s="21">
        <f t="shared" si="121"/>
        <v>-1.2644997647028653</v>
      </c>
      <c r="HA10" s="21">
        <f t="shared" si="122"/>
        <v>16.759358991906694</v>
      </c>
      <c r="HB10" s="21">
        <f t="shared" si="123"/>
        <v>2.3881753730949917</v>
      </c>
      <c r="HC10" s="21">
        <f t="shared" si="124"/>
        <v>-0.41737652384337132</v>
      </c>
      <c r="HF10" s="44">
        <f t="shared" si="125"/>
        <v>3.6974155412693617E-2</v>
      </c>
      <c r="HG10" s="44">
        <f t="shared" si="126"/>
        <v>1.7838759330674126E-2</v>
      </c>
      <c r="HH10" s="8"/>
      <c r="HI10" s="44">
        <f t="shared" si="11"/>
        <v>3.6373558102750669</v>
      </c>
      <c r="HJ10" s="44">
        <f t="shared" si="12"/>
        <v>1.7249244907755479</v>
      </c>
      <c r="HK10" s="8"/>
      <c r="HL10" s="44">
        <f t="shared" si="127"/>
        <v>1.9124313194995191</v>
      </c>
      <c r="HN10" s="9">
        <v>0</v>
      </c>
      <c r="HP10" s="57"/>
    </row>
    <row r="11" spans="1:224" s="11" customFormat="1" ht="15">
      <c r="A11" s="11">
        <v>2008</v>
      </c>
      <c r="B11" s="61">
        <v>519179</v>
      </c>
      <c r="C11" s="61">
        <v>-91313</v>
      </c>
      <c r="D11" s="61">
        <v>33476</v>
      </c>
      <c r="E11" s="61">
        <v>-103006</v>
      </c>
      <c r="F11" s="61">
        <v>-21783</v>
      </c>
      <c r="G11" s="61">
        <v>61740</v>
      </c>
      <c r="H11" s="61">
        <v>-118</v>
      </c>
      <c r="I11" s="61">
        <v>13232</v>
      </c>
      <c r="J11" s="61">
        <v>-12943</v>
      </c>
      <c r="K11" s="61">
        <v>-407</v>
      </c>
      <c r="L11" s="61">
        <v>35817</v>
      </c>
      <c r="M11" s="61">
        <v>-29559</v>
      </c>
      <c r="N11" s="61">
        <v>6415</v>
      </c>
      <c r="O11" s="61">
        <v>-10697</v>
      </c>
      <c r="P11" s="61">
        <v>-25277</v>
      </c>
      <c r="Q11" s="62">
        <v>179865</v>
      </c>
      <c r="R11" s="61">
        <v>-42446</v>
      </c>
      <c r="S11" s="61">
        <v>7563</v>
      </c>
      <c r="T11" s="61">
        <v>-39809</v>
      </c>
      <c r="U11" s="61">
        <v>-10201</v>
      </c>
      <c r="V11" s="61">
        <v>7022</v>
      </c>
      <c r="W11" s="61">
        <v>2580</v>
      </c>
      <c r="X11" s="61">
        <v>4722</v>
      </c>
      <c r="Y11" s="61">
        <v>-5</v>
      </c>
      <c r="Z11" s="61">
        <v>-2137</v>
      </c>
      <c r="AA11" s="61">
        <v>141752</v>
      </c>
      <c r="AB11" s="61">
        <v>-4475</v>
      </c>
      <c r="AC11" s="61">
        <v>-1657</v>
      </c>
      <c r="AD11" s="61">
        <v>-14787</v>
      </c>
      <c r="AE11" s="61">
        <v>11969</v>
      </c>
      <c r="AF11" s="61">
        <v>92983</v>
      </c>
      <c r="AG11" s="61">
        <v>-17295</v>
      </c>
      <c r="AH11" s="61">
        <v>3200</v>
      </c>
      <c r="AI11" s="61">
        <v>-24765</v>
      </c>
      <c r="AJ11" s="61">
        <v>4270</v>
      </c>
      <c r="AK11" s="61">
        <v>293671</v>
      </c>
      <c r="AL11" s="61">
        <v>-66600</v>
      </c>
      <c r="AM11" s="61">
        <v>9943</v>
      </c>
      <c r="AN11" s="61">
        <v>-15030</v>
      </c>
      <c r="AO11" s="61">
        <v>-61512</v>
      </c>
      <c r="AP11" s="61">
        <v>18456</v>
      </c>
      <c r="AQ11" s="61">
        <v>3311</v>
      </c>
      <c r="AR11" s="61">
        <v>2525</v>
      </c>
      <c r="AS11" s="61">
        <v>0</v>
      </c>
      <c r="AT11" s="61">
        <v>786</v>
      </c>
      <c r="AU11" s="61">
        <v>68625</v>
      </c>
      <c r="AV11" s="61">
        <v>-73406</v>
      </c>
      <c r="AW11" s="61">
        <v>-7464</v>
      </c>
      <c r="AX11" s="61">
        <v>0</v>
      </c>
      <c r="AY11" s="61">
        <v>-65942</v>
      </c>
      <c r="AZ11" s="61">
        <v>71682</v>
      </c>
      <c r="BA11" s="61">
        <v>-7774</v>
      </c>
      <c r="BB11" s="61">
        <v>-2879</v>
      </c>
      <c r="BC11" s="61">
        <v>-1600</v>
      </c>
      <c r="BD11" s="61">
        <v>-3294</v>
      </c>
      <c r="BE11" s="61">
        <v>7761</v>
      </c>
      <c r="BF11" s="61">
        <v>2797</v>
      </c>
      <c r="BG11" s="61">
        <v>4909</v>
      </c>
      <c r="BH11" s="61">
        <v>0</v>
      </c>
      <c r="BI11" s="61">
        <v>-2112</v>
      </c>
      <c r="BJ11" s="61">
        <v>127146</v>
      </c>
      <c r="BK11" s="61">
        <v>8472</v>
      </c>
      <c r="BL11" s="61">
        <v>12853</v>
      </c>
      <c r="BM11" s="61">
        <v>-13431</v>
      </c>
      <c r="BN11" s="61">
        <v>9050</v>
      </c>
      <c r="BP11" s="54">
        <f>yield!M16</f>
        <v>1.3734899884159999</v>
      </c>
      <c r="BQ11" s="9"/>
      <c r="BR11" s="11">
        <f t="shared" si="13"/>
        <v>-122646</v>
      </c>
      <c r="BS11" s="11">
        <f t="shared" si="14"/>
        <v>-13350</v>
      </c>
      <c r="BT11" s="11">
        <f t="shared" si="15"/>
        <v>-35974</v>
      </c>
      <c r="BU11" s="11">
        <f t="shared" si="16"/>
        <v>-50009</v>
      </c>
      <c r="BV11" s="11">
        <f t="shared" si="17"/>
        <v>-2818</v>
      </c>
      <c r="BW11" s="11">
        <f t="shared" si="18"/>
        <v>-20495</v>
      </c>
      <c r="BX11" s="11">
        <f t="shared" si="19"/>
        <v>-74432</v>
      </c>
      <c r="BY11" s="11">
        <f t="shared" si="20"/>
        <v>786</v>
      </c>
      <c r="BZ11" s="11">
        <f t="shared" si="21"/>
        <v>-65942</v>
      </c>
      <c r="CA11" s="11">
        <f t="shared" si="22"/>
        <v>-4895</v>
      </c>
      <c r="CB11" s="11">
        <f t="shared" si="23"/>
        <v>-4381</v>
      </c>
      <c r="CC11" s="21">
        <f t="shared" si="24"/>
        <v>-21.317638504315084</v>
      </c>
      <c r="CD11" s="21">
        <f t="shared" si="25"/>
        <v>-22.644161783149997</v>
      </c>
      <c r="CE11" s="21">
        <f t="shared" si="26"/>
        <v>-55.635649264770706</v>
      </c>
      <c r="CF11" s="21">
        <f t="shared" si="27"/>
        <v>-23.545162757429171</v>
      </c>
      <c r="CG11" s="21">
        <f t="shared" si="28"/>
        <v>-3.2559110545836156</v>
      </c>
      <c r="CH11" s="21">
        <f t="shared" si="29"/>
        <v>-19.687927474917732</v>
      </c>
      <c r="CI11" s="21">
        <f t="shared" si="30"/>
        <v>-22.01975423963939</v>
      </c>
      <c r="CJ11" s="21">
        <f t="shared" si="31"/>
        <v>3.7646347576866246</v>
      </c>
      <c r="CK11" s="21">
        <f t="shared" si="32"/>
        <v>-47.153730720151124</v>
      </c>
      <c r="CL11" s="21">
        <f t="shared" si="33"/>
        <v>-7.4320538410782007</v>
      </c>
      <c r="CM11" s="21">
        <f t="shared" si="34"/>
        <v>-4.9964895037159174</v>
      </c>
      <c r="CN11" s="21"/>
      <c r="CO11" s="21">
        <f t="shared" si="35"/>
        <v>0.70211573532430549</v>
      </c>
      <c r="CP11" s="21">
        <f t="shared" si="36"/>
        <v>-26.408796540836622</v>
      </c>
      <c r="CQ11" s="21">
        <f t="shared" si="37"/>
        <v>-8.4819185446195817</v>
      </c>
      <c r="CR11" s="21">
        <f t="shared" si="38"/>
        <v>-16.113108916350971</v>
      </c>
      <c r="CS11" s="21">
        <f t="shared" si="39"/>
        <v>1.7405784491323018</v>
      </c>
      <c r="CU11" s="23">
        <f>Balance_on_income!B16</f>
        <v>22250.5</v>
      </c>
      <c r="CV11" s="23">
        <f>Balance_on_income!C16</f>
        <v>5033.8999999999996</v>
      </c>
      <c r="CW11" s="23">
        <f>Balance_on_income!D16</f>
        <v>3298.3</v>
      </c>
      <c r="CX11" s="23">
        <f>Balance_on_income!E16</f>
        <v>11233.3</v>
      </c>
      <c r="CY11" s="23">
        <f>Balance_on_income!F16</f>
        <v>2685</v>
      </c>
      <c r="CZ11" s="23">
        <f>Balance_on_income!G16</f>
        <v>6124.7000000000007</v>
      </c>
      <c r="DA11" s="23">
        <f>Balance_on_income!H16</f>
        <v>1222.4000000000001</v>
      </c>
      <c r="DB11" s="23">
        <f>Balance_on_income!I16</f>
        <v>2128.4</v>
      </c>
      <c r="DC11" s="23">
        <f>Balance_on_income!J16</f>
        <v>1075.4000000000001</v>
      </c>
      <c r="DD11" s="23">
        <f>Balance_on_income!K16</f>
        <v>1698.5</v>
      </c>
      <c r="DE11" s="21">
        <f t="shared" si="40"/>
        <v>2.2667728626978301</v>
      </c>
      <c r="DF11" s="21">
        <f t="shared" si="41"/>
        <v>6.6726930489343861</v>
      </c>
      <c r="DG11" s="21">
        <f t="shared" si="42"/>
        <v>3.6218873442744437</v>
      </c>
      <c r="DH11" s="21">
        <f t="shared" si="43"/>
        <v>3.6296238315871809</v>
      </c>
      <c r="DI11" s="21">
        <f t="shared" si="44"/>
        <v>0.45642723287828701</v>
      </c>
      <c r="DJ11" s="21">
        <f t="shared" si="45"/>
        <v>0.34554572989728971</v>
      </c>
      <c r="DK11" s="21">
        <f t="shared" si="46"/>
        <v>6.6070731864264598</v>
      </c>
      <c r="DL11" s="21">
        <f t="shared" si="47"/>
        <v>0.12336174245222153</v>
      </c>
      <c r="DM11" s="21">
        <f t="shared" si="48"/>
        <v>-1.9765033964203038E-2</v>
      </c>
      <c r="DN11" s="21">
        <f t="shared" si="49"/>
        <v>5.695945695671778E-2</v>
      </c>
      <c r="DP11" s="21">
        <f t="shared" si="50"/>
        <v>1.9212271328005404</v>
      </c>
      <c r="DQ11" s="21">
        <f t="shared" si="51"/>
        <v>6.5619862507926285E-2</v>
      </c>
      <c r="DR11" s="21">
        <f t="shared" si="52"/>
        <v>3.4985256018222222</v>
      </c>
      <c r="DS11" s="21">
        <f t="shared" si="53"/>
        <v>3.649388865551384</v>
      </c>
      <c r="DT11" s="21">
        <f t="shared" si="54"/>
        <v>0.39946777592156923</v>
      </c>
      <c r="DU11" s="21"/>
      <c r="DV11" s="11">
        <f t="shared" si="55"/>
        <v>-19645</v>
      </c>
      <c r="DW11" s="11">
        <f t="shared" si="56"/>
        <v>-407</v>
      </c>
      <c r="DX11" s="11">
        <f t="shared" si="57"/>
        <v>-25277</v>
      </c>
      <c r="DY11" s="11">
        <f t="shared" si="58"/>
        <v>-10200</v>
      </c>
      <c r="DZ11" s="11">
        <f t="shared" si="59"/>
        <v>11969</v>
      </c>
      <c r="EA11" s="11">
        <f t="shared" si="60"/>
        <v>4270</v>
      </c>
      <c r="EB11" s="11">
        <f t="shared" si="61"/>
        <v>-59401</v>
      </c>
      <c r="EC11" s="11">
        <f t="shared" si="62"/>
        <v>786</v>
      </c>
      <c r="ED11" s="11">
        <f t="shared" si="63"/>
        <v>-65942</v>
      </c>
      <c r="EE11" s="11">
        <f t="shared" si="64"/>
        <v>-3295</v>
      </c>
      <c r="EF11" s="11">
        <f t="shared" si="65"/>
        <v>9050</v>
      </c>
      <c r="EG11" s="21">
        <f t="shared" si="0"/>
        <v>-4.5524443470117859</v>
      </c>
      <c r="EH11" s="21">
        <f t="shared" si="1"/>
        <v>-2.0039248317050951</v>
      </c>
      <c r="EI11" s="21">
        <f t="shared" si="2"/>
        <v>-39.49506495707913</v>
      </c>
      <c r="EJ11" s="21">
        <f t="shared" si="3"/>
        <v>-5.880883667288006</v>
      </c>
      <c r="EK11" s="21">
        <f t="shared" si="4"/>
        <v>6.719438074382289</v>
      </c>
      <c r="EL11" s="21">
        <f t="shared" si="5"/>
        <v>2.4646902376076252</v>
      </c>
      <c r="EM11" s="21">
        <f t="shared" si="6"/>
        <v>-17.846633644554121</v>
      </c>
      <c r="EN11" s="21">
        <f t="shared" si="7"/>
        <v>3.7646347576866246</v>
      </c>
      <c r="EO11" s="21">
        <f t="shared" si="8"/>
        <v>-47.153730720151124</v>
      </c>
      <c r="EP11" s="21">
        <f t="shared" si="9"/>
        <v>-5.4456438699904464</v>
      </c>
      <c r="EQ11" s="21">
        <f t="shared" si="10"/>
        <v>6.1677300851967098</v>
      </c>
      <c r="ES11" s="21">
        <f t="shared" si="66"/>
        <v>13.294189297542335</v>
      </c>
      <c r="ET11" s="21">
        <f t="shared" si="67"/>
        <v>-5.7685595893917192</v>
      </c>
      <c r="EU11" s="21">
        <f t="shared" si="68"/>
        <v>7.6586657630719941</v>
      </c>
      <c r="EV11" s="21">
        <f t="shared" si="69"/>
        <v>-0.43523979729755968</v>
      </c>
      <c r="EW11" s="21">
        <f t="shared" si="70"/>
        <v>0.55170798918557917</v>
      </c>
      <c r="EX11" s="21"/>
      <c r="EY11" s="23">
        <f t="shared" si="71"/>
        <v>-100395.5</v>
      </c>
      <c r="EZ11" s="23">
        <f t="shared" si="72"/>
        <v>-8316.1</v>
      </c>
      <c r="FA11" s="23">
        <f t="shared" si="73"/>
        <v>-32675.7</v>
      </c>
      <c r="FB11" s="23">
        <f t="shared" si="74"/>
        <v>-38775.699999999997</v>
      </c>
      <c r="FC11" s="23">
        <f t="shared" si="75"/>
        <v>-133</v>
      </c>
      <c r="FD11" s="23">
        <f t="shared" si="76"/>
        <v>-20495</v>
      </c>
      <c r="FE11" s="23">
        <f t="shared" si="77"/>
        <v>-68307.3</v>
      </c>
      <c r="FF11" s="23">
        <f t="shared" si="78"/>
        <v>2008.4</v>
      </c>
      <c r="FG11" s="23">
        <f t="shared" si="79"/>
        <v>-63813.599999999999</v>
      </c>
      <c r="FH11" s="23">
        <f t="shared" si="80"/>
        <v>-3819.6</v>
      </c>
      <c r="FI11" s="23">
        <f t="shared" si="81"/>
        <v>-2682.5</v>
      </c>
      <c r="FJ11" s="21">
        <f t="shared" si="82"/>
        <v>-17.695984805835675</v>
      </c>
      <c r="FK11" s="21">
        <f t="shared" si="83"/>
        <v>-14.616587898434052</v>
      </c>
      <c r="FL11" s="21">
        <f t="shared" si="84"/>
        <v>-50.6588810847147</v>
      </c>
      <c r="FM11" s="21">
        <f t="shared" si="85"/>
        <v>-18.560658090060411</v>
      </c>
      <c r="FN11" s="21">
        <f t="shared" si="86"/>
        <v>-1.4446029859237597</v>
      </c>
      <c r="FO11" s="21">
        <f t="shared" si="87"/>
        <v>-19.687927474917732</v>
      </c>
      <c r="FP11" s="21">
        <f t="shared" si="88"/>
        <v>-20.31932767396054</v>
      </c>
      <c r="FQ11" s="21">
        <f t="shared" si="89"/>
        <v>11.72658877989463</v>
      </c>
      <c r="FR11" s="21">
        <f t="shared" si="90"/>
        <v>-45.675488141917342</v>
      </c>
      <c r="FS11" s="21">
        <f t="shared" si="91"/>
        <v>-6.0969380392608352</v>
      </c>
      <c r="FT11" s="21">
        <f t="shared" si="92"/>
        <v>-3.5846492109776196</v>
      </c>
      <c r="FV11" s="21">
        <f t="shared" si="93"/>
        <v>2.6233428681248654</v>
      </c>
      <c r="FW11" s="21">
        <f t="shared" si="94"/>
        <v>-26.343176678328682</v>
      </c>
      <c r="FX11" s="21">
        <f t="shared" si="95"/>
        <v>-4.9833929427973587</v>
      </c>
      <c r="FY11" s="21">
        <f t="shared" si="96"/>
        <v>-12.463720050799576</v>
      </c>
      <c r="FZ11" s="21">
        <f t="shared" si="97"/>
        <v>2.1400462250538599</v>
      </c>
      <c r="GB11" s="23">
        <f t="shared" si="98"/>
        <v>2605.4999999999964</v>
      </c>
      <c r="GC11" s="23">
        <f t="shared" si="99"/>
        <v>4626.8999999999996</v>
      </c>
      <c r="GD11" s="23">
        <f t="shared" si="100"/>
        <v>-21978.7</v>
      </c>
      <c r="GE11" s="23">
        <f t="shared" si="101"/>
        <v>1033.2999999999993</v>
      </c>
      <c r="GF11" s="23">
        <f t="shared" si="102"/>
        <v>14654</v>
      </c>
      <c r="GG11" s="23">
        <f t="shared" si="103"/>
        <v>4270</v>
      </c>
      <c r="GH11" s="23">
        <f t="shared" si="104"/>
        <v>-53276.299999999996</v>
      </c>
      <c r="GI11" s="23">
        <f t="shared" si="105"/>
        <v>2008.4</v>
      </c>
      <c r="GJ11" s="23">
        <f t="shared" si="106"/>
        <v>-63813.599999999999</v>
      </c>
      <c r="GK11" s="23">
        <f t="shared" si="107"/>
        <v>-2219.6</v>
      </c>
      <c r="GL11" s="23">
        <f t="shared" si="108"/>
        <v>10748.5</v>
      </c>
      <c r="GM11" s="21">
        <f t="shared" si="109"/>
        <v>-0.93079064853238691</v>
      </c>
      <c r="GN11" s="21">
        <f t="shared" si="110"/>
        <v>6.0236490530108711</v>
      </c>
      <c r="GO11" s="21">
        <f t="shared" si="111"/>
        <v>-34.518296777023124</v>
      </c>
      <c r="GP11" s="21">
        <f t="shared" si="112"/>
        <v>-0.89637899991926728</v>
      </c>
      <c r="GQ11" s="21">
        <f t="shared" si="113"/>
        <v>8.5307461430421441</v>
      </c>
      <c r="GR11" s="21">
        <f t="shared" si="114"/>
        <v>2.4646902376076252</v>
      </c>
      <c r="GS11" s="21">
        <f t="shared" si="115"/>
        <v>-16.146207078875275</v>
      </c>
      <c r="GT11" s="21">
        <f t="shared" si="116"/>
        <v>11.72658877989463</v>
      </c>
      <c r="GU11" s="21">
        <f t="shared" si="117"/>
        <v>-45.675488141917342</v>
      </c>
      <c r="GV11" s="21">
        <f t="shared" si="118"/>
        <v>-4.1105280681730694</v>
      </c>
      <c r="GW11" s="21">
        <f t="shared" si="119"/>
        <v>7.5795703779350188</v>
      </c>
      <c r="GY11" s="21">
        <f t="shared" si="120"/>
        <v>15.215416430342888</v>
      </c>
      <c r="GZ11" s="21">
        <f t="shared" si="121"/>
        <v>-5.7029397268837592</v>
      </c>
      <c r="HA11" s="21">
        <f t="shared" si="122"/>
        <v>11.157191364894217</v>
      </c>
      <c r="HB11" s="21">
        <f t="shared" si="123"/>
        <v>3.2141490682538021</v>
      </c>
      <c r="HC11" s="21">
        <f t="shared" si="124"/>
        <v>0.95117576510712532</v>
      </c>
      <c r="HF11" s="44">
        <f t="shared" si="125"/>
        <v>3.3775320290208036E-2</v>
      </c>
      <c r="HG11" s="44">
        <f t="shared" si="126"/>
        <v>1.353453483689086E-2</v>
      </c>
      <c r="HH11" s="8"/>
      <c r="HI11" s="44">
        <f t="shared" si="11"/>
        <v>1.9768896590556473</v>
      </c>
      <c r="HJ11" s="44">
        <f t="shared" si="12"/>
        <v>-1.9765033964203038E-2</v>
      </c>
      <c r="HK11" s="8"/>
      <c r="HL11" s="44">
        <f t="shared" si="127"/>
        <v>1.9966546930198503</v>
      </c>
      <c r="HN11" s="9">
        <v>0</v>
      </c>
      <c r="HP11" s="57"/>
    </row>
    <row r="12" spans="1:224" s="11" customFormat="1" ht="15">
      <c r="A12" s="11">
        <v>2009</v>
      </c>
      <c r="B12" s="61">
        <v>554826</v>
      </c>
      <c r="C12" s="61">
        <v>35646</v>
      </c>
      <c r="D12" s="61">
        <v>12765</v>
      </c>
      <c r="E12" s="61">
        <v>17330</v>
      </c>
      <c r="F12" s="61">
        <v>5551</v>
      </c>
      <c r="G12" s="61">
        <v>68210</v>
      </c>
      <c r="H12" s="61">
        <v>6470</v>
      </c>
      <c r="I12" s="61">
        <v>6990</v>
      </c>
      <c r="J12" s="61">
        <v>2531</v>
      </c>
      <c r="K12" s="61">
        <v>-3051</v>
      </c>
      <c r="L12" s="61">
        <v>54687</v>
      </c>
      <c r="M12" s="61">
        <v>18870</v>
      </c>
      <c r="N12" s="61">
        <v>3030</v>
      </c>
      <c r="O12" s="61">
        <v>2749</v>
      </c>
      <c r="P12" s="61">
        <v>13091</v>
      </c>
      <c r="Q12" s="62">
        <v>207302</v>
      </c>
      <c r="R12" s="61">
        <v>27437</v>
      </c>
      <c r="S12" s="61">
        <v>13273</v>
      </c>
      <c r="T12" s="61">
        <v>8391</v>
      </c>
      <c r="U12" s="61">
        <v>5772</v>
      </c>
      <c r="V12" s="61">
        <v>4251</v>
      </c>
      <c r="W12" s="61">
        <v>-2771</v>
      </c>
      <c r="X12" s="61">
        <v>5189</v>
      </c>
      <c r="Y12" s="61">
        <v>0</v>
      </c>
      <c r="Z12" s="61">
        <v>-7960</v>
      </c>
      <c r="AA12" s="61">
        <v>123599</v>
      </c>
      <c r="AB12" s="61">
        <v>-18153</v>
      </c>
      <c r="AC12" s="61">
        <v>-18244</v>
      </c>
      <c r="AD12" s="61">
        <v>1099</v>
      </c>
      <c r="AE12" s="61">
        <v>-1007</v>
      </c>
      <c r="AF12" s="61">
        <v>96777</v>
      </c>
      <c r="AG12" s="61">
        <v>3793</v>
      </c>
      <c r="AH12" s="61">
        <v>2526</v>
      </c>
      <c r="AI12" s="61">
        <v>2560</v>
      </c>
      <c r="AJ12" s="61">
        <v>-1293</v>
      </c>
      <c r="AK12" s="61">
        <v>288603</v>
      </c>
      <c r="AL12" s="61">
        <v>-5068</v>
      </c>
      <c r="AM12" s="61">
        <v>-3419</v>
      </c>
      <c r="AN12" s="61">
        <v>1528</v>
      </c>
      <c r="AO12" s="61">
        <v>-3176</v>
      </c>
      <c r="AP12" s="61">
        <v>18425</v>
      </c>
      <c r="AQ12" s="61">
        <v>-31</v>
      </c>
      <c r="AR12" s="61">
        <v>1117</v>
      </c>
      <c r="AS12" s="61">
        <v>0</v>
      </c>
      <c r="AT12" s="61">
        <v>-1148</v>
      </c>
      <c r="AU12" s="61">
        <v>76372</v>
      </c>
      <c r="AV12" s="61">
        <v>7747</v>
      </c>
      <c r="AW12" s="61">
        <v>964</v>
      </c>
      <c r="AX12" s="61">
        <v>0</v>
      </c>
      <c r="AY12" s="61">
        <v>6783</v>
      </c>
      <c r="AZ12" s="61">
        <v>65524</v>
      </c>
      <c r="BA12" s="61">
        <v>-6158</v>
      </c>
      <c r="BB12" s="61">
        <v>-5916</v>
      </c>
      <c r="BC12" s="61">
        <v>161</v>
      </c>
      <c r="BD12" s="61">
        <v>-403</v>
      </c>
      <c r="BE12" s="61">
        <v>5213</v>
      </c>
      <c r="BF12" s="61">
        <v>-2548</v>
      </c>
      <c r="BG12" s="61">
        <v>4789</v>
      </c>
      <c r="BH12" s="61">
        <v>0</v>
      </c>
      <c r="BI12" s="61">
        <v>-7336</v>
      </c>
      <c r="BJ12" s="61">
        <v>123068</v>
      </c>
      <c r="BK12" s="61">
        <v>-4078</v>
      </c>
      <c r="BL12" s="61">
        <v>-4374</v>
      </c>
      <c r="BM12" s="61">
        <v>1367</v>
      </c>
      <c r="BN12" s="61">
        <v>-1071</v>
      </c>
      <c r="BP12" s="54">
        <f>yield!M17</f>
        <v>-1.3467189030362301</v>
      </c>
      <c r="BQ12" s="9"/>
      <c r="BR12" s="11">
        <f t="shared" si="13"/>
        <v>30842</v>
      </c>
      <c r="BS12" s="11">
        <f t="shared" si="14"/>
        <v>-520</v>
      </c>
      <c r="BT12" s="11">
        <f t="shared" si="15"/>
        <v>15840</v>
      </c>
      <c r="BU12" s="11">
        <f t="shared" si="16"/>
        <v>14164</v>
      </c>
      <c r="BV12" s="11">
        <f t="shared" si="17"/>
        <v>91</v>
      </c>
      <c r="BW12" s="11">
        <f t="shared" si="18"/>
        <v>1267</v>
      </c>
      <c r="BX12" s="11">
        <f t="shared" si="19"/>
        <v>5689</v>
      </c>
      <c r="BY12" s="11">
        <f t="shared" si="20"/>
        <v>-1148</v>
      </c>
      <c r="BZ12" s="11">
        <f t="shared" si="21"/>
        <v>6783</v>
      </c>
      <c r="CA12" s="11">
        <f t="shared" si="22"/>
        <v>-242</v>
      </c>
      <c r="CB12" s="11">
        <f t="shared" si="23"/>
        <v>296</v>
      </c>
      <c r="CC12" s="21">
        <f t="shared" si="24"/>
        <v>7.4692788763468299</v>
      </c>
      <c r="CD12" s="21">
        <f t="shared" si="25"/>
        <v>0.51136387848287335</v>
      </c>
      <c r="CE12" s="21">
        <f t="shared" si="26"/>
        <v>46.193626653200326</v>
      </c>
      <c r="CF12" s="21">
        <f t="shared" si="27"/>
        <v>9.3473970511942497</v>
      </c>
      <c r="CG12" s="21">
        <f t="shared" si="28"/>
        <v>1.4301759783754031</v>
      </c>
      <c r="CH12" s="21">
        <f t="shared" si="29"/>
        <v>2.7463039141907286</v>
      </c>
      <c r="CI12" s="21">
        <f t="shared" si="30"/>
        <v>3.3820596956894322</v>
      </c>
      <c r="CJ12" s="21">
        <f t="shared" si="31"/>
        <v>-4.9400085186472769</v>
      </c>
      <c r="CK12" s="21">
        <f t="shared" si="32"/>
        <v>11.384184878212178</v>
      </c>
      <c r="CL12" s="21">
        <f t="shared" si="33"/>
        <v>1.0228921981879413</v>
      </c>
      <c r="CM12" s="21">
        <f t="shared" si="34"/>
        <v>1.6010842412439441</v>
      </c>
      <c r="CN12" s="21"/>
      <c r="CO12" s="21">
        <f t="shared" si="35"/>
        <v>4.0872191806573976</v>
      </c>
      <c r="CP12" s="21">
        <f t="shared" si="36"/>
        <v>5.4513723971301502</v>
      </c>
      <c r="CQ12" s="21">
        <f t="shared" si="37"/>
        <v>34.809441774988144</v>
      </c>
      <c r="CR12" s="21">
        <f t="shared" si="38"/>
        <v>8.3245048530063084</v>
      </c>
      <c r="CS12" s="21">
        <f t="shared" si="39"/>
        <v>-0.17090826286854099</v>
      </c>
      <c r="CU12" s="23">
        <f>Balance_on_income!B17</f>
        <v>16877.099999999999</v>
      </c>
      <c r="CV12" s="23">
        <f>Balance_on_income!C17</f>
        <v>4287</v>
      </c>
      <c r="CW12" s="23">
        <f>Balance_on_income!D17</f>
        <v>2319.1999999999998</v>
      </c>
      <c r="CX12" s="23">
        <f>Balance_on_income!E17</f>
        <v>8756.2999999999993</v>
      </c>
      <c r="CY12" s="23">
        <f>Balance_on_income!F17</f>
        <v>1514.6</v>
      </c>
      <c r="CZ12" s="23">
        <f>Balance_on_income!G17</f>
        <v>4098.8</v>
      </c>
      <c r="DA12" s="23">
        <f>Balance_on_income!H17</f>
        <v>826.7</v>
      </c>
      <c r="DB12" s="23">
        <f>Balance_on_income!I17</f>
        <v>1361.6</v>
      </c>
      <c r="DC12" s="23">
        <f>Balance_on_income!J17</f>
        <v>921.5</v>
      </c>
      <c r="DD12" s="23">
        <f>Balance_on_income!K17</f>
        <v>989</v>
      </c>
      <c r="DE12" s="21">
        <f t="shared" si="40"/>
        <v>4.7053788163462951</v>
      </c>
      <c r="DF12" s="21">
        <f t="shared" si="41"/>
        <v>8.4035253643349961</v>
      </c>
      <c r="DG12" s="21">
        <f t="shared" si="42"/>
        <v>7.9286328043010279</v>
      </c>
      <c r="DH12" s="21">
        <f t="shared" si="43"/>
        <v>6.2998221060378778</v>
      </c>
      <c r="DI12" s="21">
        <f t="shared" si="44"/>
        <v>2.4481747412527843</v>
      </c>
      <c r="DJ12" s="21">
        <f t="shared" si="45"/>
        <v>2.8182761603836815</v>
      </c>
      <c r="DK12" s="21">
        <f t="shared" si="46"/>
        <v>5.9055522150150308</v>
      </c>
      <c r="DL12" s="21">
        <f t="shared" si="47"/>
        <v>3.3763048137795071</v>
      </c>
      <c r="DM12" s="21">
        <f t="shared" si="48"/>
        <v>2.668190841421314</v>
      </c>
      <c r="DN12" s="21">
        <f t="shared" si="49"/>
        <v>2.1535673424129653</v>
      </c>
      <c r="DP12" s="21">
        <f t="shared" si="50"/>
        <v>1.8871026559626136</v>
      </c>
      <c r="DQ12" s="21">
        <f t="shared" si="51"/>
        <v>2.4979731493199653</v>
      </c>
      <c r="DR12" s="21">
        <f t="shared" si="52"/>
        <v>4.5523279905215208</v>
      </c>
      <c r="DS12" s="21">
        <f t="shared" si="53"/>
        <v>3.6316312646165638</v>
      </c>
      <c r="DT12" s="21">
        <f t="shared" si="54"/>
        <v>0.29460739883981901</v>
      </c>
      <c r="DU12" s="21"/>
      <c r="DV12" s="11">
        <f t="shared" si="55"/>
        <v>13512</v>
      </c>
      <c r="DW12" s="11">
        <f t="shared" si="56"/>
        <v>-3051</v>
      </c>
      <c r="DX12" s="11">
        <f t="shared" si="57"/>
        <v>13091</v>
      </c>
      <c r="DY12" s="11">
        <f t="shared" si="58"/>
        <v>5773</v>
      </c>
      <c r="DZ12" s="11">
        <f t="shared" si="59"/>
        <v>-1008</v>
      </c>
      <c r="EA12" s="11">
        <f t="shared" si="60"/>
        <v>-1293</v>
      </c>
      <c r="EB12" s="11">
        <f t="shared" si="61"/>
        <v>4161</v>
      </c>
      <c r="EC12" s="11">
        <f t="shared" si="62"/>
        <v>-1148</v>
      </c>
      <c r="ED12" s="11">
        <f t="shared" si="63"/>
        <v>6783</v>
      </c>
      <c r="EE12" s="11">
        <f t="shared" si="64"/>
        <v>-403</v>
      </c>
      <c r="EF12" s="11">
        <f t="shared" si="65"/>
        <v>-1071</v>
      </c>
      <c r="EG12" s="21">
        <f t="shared" si="0"/>
        <v>4.0393661637739386</v>
      </c>
      <c r="EH12" s="21">
        <f t="shared" si="1"/>
        <v>-3.6440471306063205</v>
      </c>
      <c r="EI12" s="21">
        <f t="shared" si="2"/>
        <v>38.413726936421419</v>
      </c>
      <c r="EJ12" s="21">
        <f t="shared" si="3"/>
        <v>4.618547195468703</v>
      </c>
      <c r="EK12" s="21">
        <f t="shared" si="4"/>
        <v>0.64429466311672901</v>
      </c>
      <c r="EL12" s="21">
        <f t="shared" si="5"/>
        <v>-4.4441414986995387E-2</v>
      </c>
      <c r="EM12" s="21">
        <f t="shared" si="6"/>
        <v>2.8403283147642844</v>
      </c>
      <c r="EN12" s="21">
        <f t="shared" si="7"/>
        <v>-4.9400085186472769</v>
      </c>
      <c r="EO12" s="21">
        <f t="shared" si="8"/>
        <v>11.384184878212178</v>
      </c>
      <c r="EP12" s="21">
        <f t="shared" si="9"/>
        <v>0.79522302624073227</v>
      </c>
      <c r="EQ12" s="21">
        <f t="shared" si="10"/>
        <v>0.51126548323809917</v>
      </c>
      <c r="ES12" s="21">
        <f t="shared" si="66"/>
        <v>1.1990378490096543</v>
      </c>
      <c r="ET12" s="21">
        <f t="shared" si="67"/>
        <v>1.2959613880409564</v>
      </c>
      <c r="EU12" s="21">
        <f t="shared" si="68"/>
        <v>27.029542058209241</v>
      </c>
      <c r="EV12" s="21">
        <f t="shared" si="69"/>
        <v>3.8233241692279707</v>
      </c>
      <c r="EW12" s="21">
        <f t="shared" si="70"/>
        <v>0.13302917987862983</v>
      </c>
      <c r="EX12" s="21"/>
      <c r="EY12" s="23">
        <f t="shared" si="71"/>
        <v>47719.1</v>
      </c>
      <c r="EZ12" s="23">
        <f t="shared" si="72"/>
        <v>3767</v>
      </c>
      <c r="FA12" s="23">
        <f t="shared" si="73"/>
        <v>18159.2</v>
      </c>
      <c r="FB12" s="23">
        <f t="shared" si="74"/>
        <v>22920.3</v>
      </c>
      <c r="FC12" s="23">
        <f t="shared" si="75"/>
        <v>1605.6</v>
      </c>
      <c r="FD12" s="23">
        <f t="shared" si="76"/>
        <v>1267</v>
      </c>
      <c r="FE12" s="23">
        <f t="shared" si="77"/>
        <v>9787.7999999999993</v>
      </c>
      <c r="FF12" s="23">
        <f t="shared" si="78"/>
        <v>-321.29999999999995</v>
      </c>
      <c r="FG12" s="23">
        <f t="shared" si="79"/>
        <v>8144.6</v>
      </c>
      <c r="FH12" s="23">
        <f t="shared" si="80"/>
        <v>679.5</v>
      </c>
      <c r="FI12" s="23">
        <f t="shared" si="81"/>
        <v>1285</v>
      </c>
      <c r="FJ12" s="21">
        <f t="shared" si="82"/>
        <v>10.809554689466538</v>
      </c>
      <c r="FK12" s="21">
        <f t="shared" si="83"/>
        <v>7.5497862395912607</v>
      </c>
      <c r="FL12" s="21">
        <f t="shared" si="84"/>
        <v>52.757156454274742</v>
      </c>
      <c r="FM12" s="21">
        <f t="shared" si="85"/>
        <v>14.28211615400552</v>
      </c>
      <c r="FN12" s="21">
        <f t="shared" si="86"/>
        <v>2.5132477164015787</v>
      </c>
      <c r="FO12" s="21">
        <f t="shared" si="87"/>
        <v>2.7463039141907286</v>
      </c>
      <c r="FP12" s="21">
        <f t="shared" si="88"/>
        <v>4.8352328528465049</v>
      </c>
      <c r="FQ12" s="21">
        <f t="shared" si="89"/>
        <v>-0.39955930685883212</v>
      </c>
      <c r="FR12" s="21">
        <f t="shared" si="90"/>
        <v>13.395386688765099</v>
      </c>
      <c r="FS12" s="21">
        <f t="shared" si="91"/>
        <v>2.3259800363826466</v>
      </c>
      <c r="FT12" s="21">
        <f t="shared" si="92"/>
        <v>2.3895485804303229</v>
      </c>
      <c r="FV12" s="21">
        <f t="shared" si="93"/>
        <v>5.9743218366200326</v>
      </c>
      <c r="FW12" s="21">
        <f t="shared" si="94"/>
        <v>7.9493455464500933</v>
      </c>
      <c r="FX12" s="21">
        <f t="shared" si="95"/>
        <v>39.361769765509642</v>
      </c>
      <c r="FY12" s="21">
        <f t="shared" si="96"/>
        <v>11.956136117622872</v>
      </c>
      <c r="FZ12" s="21">
        <f t="shared" si="97"/>
        <v>0.12369913597125581</v>
      </c>
      <c r="GB12" s="23">
        <f t="shared" si="98"/>
        <v>30389.1</v>
      </c>
      <c r="GC12" s="23">
        <f t="shared" si="99"/>
        <v>1236</v>
      </c>
      <c r="GD12" s="23">
        <f t="shared" si="100"/>
        <v>15410.2</v>
      </c>
      <c r="GE12" s="23">
        <f t="shared" si="101"/>
        <v>14529.3</v>
      </c>
      <c r="GF12" s="23">
        <f t="shared" si="102"/>
        <v>506.59999999999991</v>
      </c>
      <c r="GG12" s="23">
        <f t="shared" si="103"/>
        <v>-1293</v>
      </c>
      <c r="GH12" s="23">
        <f t="shared" si="104"/>
        <v>8259.7999999999993</v>
      </c>
      <c r="GI12" s="23">
        <f t="shared" si="105"/>
        <v>-321.29999999999995</v>
      </c>
      <c r="GJ12" s="23">
        <f t="shared" si="106"/>
        <v>8144.6</v>
      </c>
      <c r="GK12" s="23">
        <f t="shared" si="107"/>
        <v>518.5</v>
      </c>
      <c r="GL12" s="23">
        <f t="shared" si="108"/>
        <v>-82</v>
      </c>
      <c r="GM12" s="21">
        <f t="shared" si="109"/>
        <v>7.3796419768936028</v>
      </c>
      <c r="GN12" s="21">
        <f t="shared" si="110"/>
        <v>3.394375230502078</v>
      </c>
      <c r="GO12" s="21">
        <f t="shared" si="111"/>
        <v>44.977256737495864</v>
      </c>
      <c r="GP12" s="21">
        <f t="shared" si="112"/>
        <v>9.5532662982799934</v>
      </c>
      <c r="GQ12" s="21">
        <f t="shared" si="113"/>
        <v>1.7273664011429046</v>
      </c>
      <c r="GR12" s="21">
        <f t="shared" si="114"/>
        <v>-4.4441414986995387E-2</v>
      </c>
      <c r="GS12" s="21">
        <f t="shared" si="115"/>
        <v>4.2935014719213571</v>
      </c>
      <c r="GT12" s="21">
        <f t="shared" si="116"/>
        <v>-0.39955930685883212</v>
      </c>
      <c r="GU12" s="21">
        <f t="shared" si="117"/>
        <v>13.395386688765099</v>
      </c>
      <c r="GV12" s="21">
        <f t="shared" si="118"/>
        <v>2.0983108644354376</v>
      </c>
      <c r="GW12" s="21">
        <f t="shared" si="119"/>
        <v>1.2997298224245002</v>
      </c>
      <c r="GY12" s="21">
        <f t="shared" si="120"/>
        <v>3.0861405049722457</v>
      </c>
      <c r="GZ12" s="21">
        <f t="shared" si="121"/>
        <v>3.7939345373609101</v>
      </c>
      <c r="HA12" s="21">
        <f t="shared" si="122"/>
        <v>31.581870048730764</v>
      </c>
      <c r="HB12" s="21">
        <f t="shared" si="123"/>
        <v>7.4549554338445558</v>
      </c>
      <c r="HC12" s="21">
        <f t="shared" si="124"/>
        <v>0.42763657871840444</v>
      </c>
      <c r="HF12" s="44">
        <f t="shared" si="125"/>
        <v>3.2092109555101903E-2</v>
      </c>
      <c r="HG12" s="44">
        <f t="shared" si="126"/>
        <v>1.2855389079545771E-2</v>
      </c>
      <c r="HH12" s="8"/>
      <c r="HI12" s="44">
        <f t="shared" si="11"/>
        <v>4.6181229938703217</v>
      </c>
      <c r="HJ12" s="44">
        <f t="shared" si="12"/>
        <v>2.668190841421314</v>
      </c>
      <c r="HK12" s="8"/>
      <c r="HL12" s="44">
        <f t="shared" si="127"/>
        <v>1.9499321524490076</v>
      </c>
      <c r="HN12" s="9">
        <v>0</v>
      </c>
      <c r="HP12" s="57"/>
    </row>
    <row r="13" spans="1:224" s="11" customFormat="1" ht="15">
      <c r="A13" s="11">
        <v>2010</v>
      </c>
      <c r="B13" s="61">
        <v>563526</v>
      </c>
      <c r="C13" s="61">
        <v>8700</v>
      </c>
      <c r="D13" s="61">
        <v>49348</v>
      </c>
      <c r="E13" s="61">
        <v>-51438</v>
      </c>
      <c r="F13" s="61">
        <v>10790</v>
      </c>
      <c r="G13" s="61">
        <v>67691</v>
      </c>
      <c r="H13" s="61">
        <v>-519</v>
      </c>
      <c r="I13" s="61">
        <v>4939</v>
      </c>
      <c r="J13" s="61">
        <v>-5500</v>
      </c>
      <c r="K13" s="61">
        <v>43</v>
      </c>
      <c r="L13" s="61">
        <v>55262</v>
      </c>
      <c r="M13" s="61">
        <v>575</v>
      </c>
      <c r="N13" s="61">
        <v>2057</v>
      </c>
      <c r="O13" s="61">
        <v>-6509</v>
      </c>
      <c r="P13" s="61">
        <v>5027</v>
      </c>
      <c r="Q13" s="62">
        <v>217256</v>
      </c>
      <c r="R13" s="61">
        <v>9954</v>
      </c>
      <c r="S13" s="61">
        <v>23777</v>
      </c>
      <c r="T13" s="61">
        <v>-19180</v>
      </c>
      <c r="U13" s="61">
        <v>5356</v>
      </c>
      <c r="V13" s="61">
        <v>4287</v>
      </c>
      <c r="W13" s="61">
        <v>35</v>
      </c>
      <c r="X13" s="61">
        <v>6371</v>
      </c>
      <c r="Y13" s="61">
        <v>-1</v>
      </c>
      <c r="Z13" s="61">
        <v>-6334</v>
      </c>
      <c r="AA13" s="61">
        <v>129700</v>
      </c>
      <c r="AB13" s="61">
        <v>6101</v>
      </c>
      <c r="AC13" s="61">
        <v>8412</v>
      </c>
      <c r="AD13" s="61">
        <v>-7355</v>
      </c>
      <c r="AE13" s="61">
        <v>5044</v>
      </c>
      <c r="AF13" s="61">
        <v>89330</v>
      </c>
      <c r="AG13" s="61">
        <v>-7447</v>
      </c>
      <c r="AH13" s="61">
        <v>3792</v>
      </c>
      <c r="AI13" s="61">
        <v>-12893</v>
      </c>
      <c r="AJ13" s="61">
        <v>1654</v>
      </c>
      <c r="AK13" s="61">
        <v>312031</v>
      </c>
      <c r="AL13" s="61">
        <v>23428</v>
      </c>
      <c r="AM13" s="61">
        <v>33018</v>
      </c>
      <c r="AN13" s="61">
        <v>-10106</v>
      </c>
      <c r="AO13" s="61">
        <v>517</v>
      </c>
      <c r="AP13" s="61">
        <v>17502</v>
      </c>
      <c r="AQ13" s="61">
        <v>-923</v>
      </c>
      <c r="AR13" s="61">
        <v>-110</v>
      </c>
      <c r="AS13" s="61">
        <v>0</v>
      </c>
      <c r="AT13" s="61">
        <v>-813</v>
      </c>
      <c r="AU13" s="61">
        <v>80537</v>
      </c>
      <c r="AV13" s="61">
        <v>4165</v>
      </c>
      <c r="AW13" s="61">
        <v>2920</v>
      </c>
      <c r="AX13" s="61">
        <v>0</v>
      </c>
      <c r="AY13" s="61">
        <v>1245</v>
      </c>
      <c r="AZ13" s="61">
        <v>71914</v>
      </c>
      <c r="BA13" s="61">
        <v>6390</v>
      </c>
      <c r="BB13" s="61">
        <v>6678</v>
      </c>
      <c r="BC13" s="61">
        <v>-629</v>
      </c>
      <c r="BD13" s="61">
        <v>341</v>
      </c>
      <c r="BE13" s="61">
        <v>5267</v>
      </c>
      <c r="BF13" s="61">
        <v>54</v>
      </c>
      <c r="BG13" s="61">
        <v>6423</v>
      </c>
      <c r="BH13" s="61">
        <v>0</v>
      </c>
      <c r="BI13" s="61">
        <v>-6369</v>
      </c>
      <c r="BJ13" s="61">
        <v>136810</v>
      </c>
      <c r="BK13" s="61">
        <v>13742</v>
      </c>
      <c r="BL13" s="61">
        <v>17107</v>
      </c>
      <c r="BM13" s="61">
        <v>-9477</v>
      </c>
      <c r="BN13" s="61">
        <v>6113</v>
      </c>
      <c r="BP13" s="54">
        <f>yield!M18</f>
        <v>-0.71978158351947696</v>
      </c>
      <c r="BQ13" s="9"/>
      <c r="BR13" s="11">
        <f t="shared" si="13"/>
        <v>-34313</v>
      </c>
      <c r="BS13" s="11">
        <f t="shared" si="14"/>
        <v>-5458</v>
      </c>
      <c r="BT13" s="11">
        <f t="shared" si="15"/>
        <v>-1482</v>
      </c>
      <c r="BU13" s="11">
        <f t="shared" si="16"/>
        <v>-13823</v>
      </c>
      <c r="BV13" s="11">
        <f t="shared" si="17"/>
        <v>-2311</v>
      </c>
      <c r="BW13" s="11">
        <f t="shared" si="18"/>
        <v>-11239</v>
      </c>
      <c r="BX13" s="11">
        <f t="shared" si="19"/>
        <v>-3221</v>
      </c>
      <c r="BY13" s="11">
        <f t="shared" si="20"/>
        <v>-813</v>
      </c>
      <c r="BZ13" s="11">
        <f t="shared" si="21"/>
        <v>1245</v>
      </c>
      <c r="CA13" s="11">
        <f t="shared" si="22"/>
        <v>-288</v>
      </c>
      <c r="CB13" s="11">
        <f t="shared" si="23"/>
        <v>-3365</v>
      </c>
      <c r="CC13" s="21">
        <f t="shared" si="24"/>
        <v>-5.5523953139899334</v>
      </c>
      <c r="CD13" s="21">
        <f t="shared" si="25"/>
        <v>-7.3347720275619537</v>
      </c>
      <c r="CE13" s="21">
        <f t="shared" si="26"/>
        <v>-2.0046148993362323</v>
      </c>
      <c r="CF13" s="21">
        <f t="shared" si="27"/>
        <v>-5.9913928712699409</v>
      </c>
      <c r="CG13" s="21">
        <f t="shared" si="28"/>
        <v>-1.1583119604527736</v>
      </c>
      <c r="CH13" s="21">
        <f t="shared" si="29"/>
        <v>-10.972492947704527</v>
      </c>
      <c r="CI13" s="21">
        <f t="shared" si="30"/>
        <v>-0.41984057249929707</v>
      </c>
      <c r="CJ13" s="21">
        <f t="shared" si="31"/>
        <v>-3.7194735413839997</v>
      </c>
      <c r="CK13" s="21">
        <f t="shared" si="32"/>
        <v>2.3669973943329925</v>
      </c>
      <c r="CL13" s="21">
        <f t="shared" si="33"/>
        <v>0.28227977534949211</v>
      </c>
      <c r="CM13" s="21">
        <f t="shared" si="34"/>
        <v>-2.0290841242240121</v>
      </c>
      <c r="CN13" s="21"/>
      <c r="CO13" s="21">
        <f t="shared" si="35"/>
        <v>-5.1325547414906367</v>
      </c>
      <c r="CP13" s="21">
        <f t="shared" si="36"/>
        <v>-3.615298486177954</v>
      </c>
      <c r="CQ13" s="21">
        <f t="shared" si="37"/>
        <v>-4.3716122936692248</v>
      </c>
      <c r="CR13" s="21">
        <f t="shared" si="38"/>
        <v>-6.273672646619433</v>
      </c>
      <c r="CS13" s="21">
        <f t="shared" si="39"/>
        <v>0.87077216377123845</v>
      </c>
      <c r="CU13" s="23">
        <f>Balance_on_income!B18</f>
        <v>15936.2</v>
      </c>
      <c r="CV13" s="23">
        <f>Balance_on_income!C18</f>
        <v>3357.8</v>
      </c>
      <c r="CW13" s="23">
        <f>Balance_on_income!D18</f>
        <v>3144.5</v>
      </c>
      <c r="CX13" s="23">
        <f>Balance_on_income!E18</f>
        <v>8224.9</v>
      </c>
      <c r="CY13" s="23">
        <f>Balance_on_income!F18</f>
        <v>1209</v>
      </c>
      <c r="CZ13" s="23">
        <f>Balance_on_income!G18</f>
        <v>3516.9</v>
      </c>
      <c r="DA13" s="23">
        <f>Balance_on_income!H18</f>
        <v>506.6</v>
      </c>
      <c r="DB13" s="23">
        <f>Balance_on_income!I18</f>
        <v>1505.9</v>
      </c>
      <c r="DC13" s="23">
        <f>Balance_on_income!J18</f>
        <v>870.4</v>
      </c>
      <c r="DD13" s="23">
        <f>Balance_on_income!K18</f>
        <v>634</v>
      </c>
      <c r="DE13" s="21">
        <f t="shared" si="40"/>
        <v>3.6404497479907372</v>
      </c>
      <c r="DF13" s="21">
        <f t="shared" si="41"/>
        <v>5.6834284562380821</v>
      </c>
      <c r="DG13" s="21">
        <f t="shared" si="42"/>
        <v>6.5166828953864497</v>
      </c>
      <c r="DH13" s="21">
        <f t="shared" si="43"/>
        <v>4.7213582237508378</v>
      </c>
      <c r="DI13" s="21">
        <f t="shared" si="44"/>
        <v>1.7102549373376519</v>
      </c>
      <c r="DJ13" s="21">
        <f t="shared" si="45"/>
        <v>1.9750123593364588</v>
      </c>
      <c r="DK13" s="21">
        <f t="shared" si="46"/>
        <v>3.494459158751706</v>
      </c>
      <c r="DL13" s="21">
        <f t="shared" si="47"/>
        <v>2.711091466767912</v>
      </c>
      <c r="DM13" s="21">
        <f t="shared" si="48"/>
        <v>2.0629989011659688</v>
      </c>
      <c r="DN13" s="21">
        <f t="shared" si="49"/>
        <v>1.2438972763025191</v>
      </c>
      <c r="DP13" s="21">
        <f t="shared" si="50"/>
        <v>1.6654373886542784</v>
      </c>
      <c r="DQ13" s="21">
        <f t="shared" si="51"/>
        <v>2.1889692974863761</v>
      </c>
      <c r="DR13" s="21">
        <f t="shared" si="52"/>
        <v>3.8055914286185377</v>
      </c>
      <c r="DS13" s="21">
        <f t="shared" si="53"/>
        <v>2.658359322584869</v>
      </c>
      <c r="DT13" s="21">
        <f t="shared" si="54"/>
        <v>0.46635766103513276</v>
      </c>
      <c r="DU13" s="21"/>
      <c r="DV13" s="11">
        <f t="shared" si="55"/>
        <v>17124</v>
      </c>
      <c r="DW13" s="11">
        <f t="shared" si="56"/>
        <v>42</v>
      </c>
      <c r="DX13" s="11">
        <f t="shared" si="57"/>
        <v>5027</v>
      </c>
      <c r="DY13" s="11">
        <f t="shared" si="58"/>
        <v>5357</v>
      </c>
      <c r="DZ13" s="11">
        <f t="shared" si="59"/>
        <v>5044</v>
      </c>
      <c r="EA13" s="11">
        <f t="shared" si="60"/>
        <v>1654</v>
      </c>
      <c r="EB13" s="11">
        <f t="shared" si="61"/>
        <v>6885</v>
      </c>
      <c r="EC13" s="11">
        <f t="shared" si="62"/>
        <v>-813</v>
      </c>
      <c r="ED13" s="11">
        <f t="shared" si="63"/>
        <v>1245</v>
      </c>
      <c r="EE13" s="11">
        <f t="shared" si="64"/>
        <v>341</v>
      </c>
      <c r="EF13" s="11">
        <f t="shared" si="65"/>
        <v>6112</v>
      </c>
      <c r="EG13" s="21">
        <f t="shared" si="0"/>
        <v>3.8577519411524319</v>
      </c>
      <c r="EH13" s="21">
        <f t="shared" si="1"/>
        <v>0.78702096466793936</v>
      </c>
      <c r="EI13" s="21">
        <f t="shared" si="2"/>
        <v>9.983956881891487</v>
      </c>
      <c r="EJ13" s="21">
        <f t="shared" si="3"/>
        <v>3.3278876952465231</v>
      </c>
      <c r="EK13" s="21">
        <f t="shared" si="4"/>
        <v>4.8355259751292401</v>
      </c>
      <c r="EL13" s="21">
        <f t="shared" si="5"/>
        <v>2.4464746272357951</v>
      </c>
      <c r="EM13" s="21">
        <f t="shared" si="6"/>
        <v>3.1721367096111619</v>
      </c>
      <c r="EN13" s="21">
        <f t="shared" si="7"/>
        <v>-3.7194735413839997</v>
      </c>
      <c r="EO13" s="21">
        <f t="shared" si="8"/>
        <v>2.3669973943329925</v>
      </c>
      <c r="EP13" s="21">
        <f t="shared" si="9"/>
        <v>1.2491930437702248</v>
      </c>
      <c r="EQ13" s="21">
        <f t="shared" si="10"/>
        <v>5.7273661715474322</v>
      </c>
      <c r="ES13" s="21">
        <f t="shared" si="66"/>
        <v>0.68561523154127002</v>
      </c>
      <c r="ET13" s="21">
        <f t="shared" si="67"/>
        <v>4.506494506051939</v>
      </c>
      <c r="EU13" s="21">
        <f t="shared" si="68"/>
        <v>7.6169594875584945</v>
      </c>
      <c r="EV13" s="21">
        <f t="shared" si="69"/>
        <v>2.0786946514762983</v>
      </c>
      <c r="EW13" s="21">
        <f t="shared" si="70"/>
        <v>-0.89184019641819212</v>
      </c>
      <c r="EX13" s="21"/>
      <c r="EY13" s="23">
        <f t="shared" si="71"/>
        <v>-18376.8</v>
      </c>
      <c r="EZ13" s="23">
        <f t="shared" si="72"/>
        <v>-2100.1999999999998</v>
      </c>
      <c r="FA13" s="23">
        <f t="shared" si="73"/>
        <v>1662.5</v>
      </c>
      <c r="FB13" s="23">
        <f t="shared" si="74"/>
        <v>-5598.1</v>
      </c>
      <c r="FC13" s="23">
        <f t="shared" si="75"/>
        <v>-1102</v>
      </c>
      <c r="FD13" s="23">
        <f t="shared" si="76"/>
        <v>-11239</v>
      </c>
      <c r="FE13" s="23">
        <f t="shared" si="77"/>
        <v>295.90000000000009</v>
      </c>
      <c r="FF13" s="23">
        <f t="shared" si="78"/>
        <v>-306.39999999999998</v>
      </c>
      <c r="FG13" s="23">
        <f t="shared" si="79"/>
        <v>2750.9</v>
      </c>
      <c r="FH13" s="23">
        <f t="shared" si="80"/>
        <v>582.4</v>
      </c>
      <c r="FI13" s="23">
        <f t="shared" si="81"/>
        <v>-2731</v>
      </c>
      <c r="FJ13" s="21">
        <f t="shared" si="82"/>
        <v>-2.6369455659991936</v>
      </c>
      <c r="FK13" s="21">
        <f t="shared" si="83"/>
        <v>-2.376343571323869</v>
      </c>
      <c r="FL13" s="21">
        <f t="shared" si="84"/>
        <v>3.7870679960502418</v>
      </c>
      <c r="FM13" s="21">
        <f t="shared" si="85"/>
        <v>-1.9950346475190894</v>
      </c>
      <c r="FN13" s="21">
        <f t="shared" si="86"/>
        <v>-0.17305702311508631</v>
      </c>
      <c r="FO13" s="21">
        <f t="shared" si="87"/>
        <v>-10.972492947704527</v>
      </c>
      <c r="FP13" s="21">
        <f t="shared" si="88"/>
        <v>0.83017178683715276</v>
      </c>
      <c r="FQ13" s="21">
        <f t="shared" si="89"/>
        <v>-0.95001438263230265</v>
      </c>
      <c r="FR13" s="21">
        <f t="shared" si="90"/>
        <v>4.3530888611009066</v>
      </c>
      <c r="FS13" s="21">
        <f t="shared" si="91"/>
        <v>1.6202786765154853</v>
      </c>
      <c r="FT13" s="21">
        <f t="shared" si="92"/>
        <v>-1.5101868479214908</v>
      </c>
      <c r="FV13" s="21">
        <f t="shared" si="93"/>
        <v>-3.4671173528363464</v>
      </c>
      <c r="FW13" s="21">
        <f t="shared" si="94"/>
        <v>-1.4263291886915663</v>
      </c>
      <c r="FX13" s="21">
        <f t="shared" si="95"/>
        <v>-0.56602086505066485</v>
      </c>
      <c r="FY13" s="21">
        <f t="shared" si="96"/>
        <v>-3.6153133240345747</v>
      </c>
      <c r="FZ13" s="21">
        <f t="shared" si="97"/>
        <v>1.3371298248064045</v>
      </c>
      <c r="GB13" s="23">
        <f t="shared" si="98"/>
        <v>33060.199999999997</v>
      </c>
      <c r="GC13" s="23">
        <f t="shared" si="99"/>
        <v>3399.8</v>
      </c>
      <c r="GD13" s="23">
        <f t="shared" si="100"/>
        <v>8171.5</v>
      </c>
      <c r="GE13" s="23">
        <f t="shared" si="101"/>
        <v>13581.9</v>
      </c>
      <c r="GF13" s="23">
        <f t="shared" si="102"/>
        <v>6253</v>
      </c>
      <c r="GG13" s="23">
        <f t="shared" si="103"/>
        <v>1654</v>
      </c>
      <c r="GH13" s="23">
        <f t="shared" si="104"/>
        <v>10401.9</v>
      </c>
      <c r="GI13" s="23">
        <f t="shared" si="105"/>
        <v>-306.39999999999998</v>
      </c>
      <c r="GJ13" s="23">
        <f t="shared" si="106"/>
        <v>2750.9</v>
      </c>
      <c r="GK13" s="23">
        <f t="shared" si="107"/>
        <v>1211.4000000000001</v>
      </c>
      <c r="GL13" s="23">
        <f t="shared" si="108"/>
        <v>6746</v>
      </c>
      <c r="GM13" s="21">
        <f t="shared" si="109"/>
        <v>6.773201689143149</v>
      </c>
      <c r="GN13" s="21">
        <f t="shared" si="110"/>
        <v>5.7454494209060014</v>
      </c>
      <c r="GO13" s="21">
        <f t="shared" si="111"/>
        <v>15.775639777277961</v>
      </c>
      <c r="GP13" s="21">
        <f t="shared" si="112"/>
        <v>7.3242459189974074</v>
      </c>
      <c r="GQ13" s="21">
        <f t="shared" si="113"/>
        <v>5.8207809124669163</v>
      </c>
      <c r="GR13" s="21">
        <f t="shared" si="114"/>
        <v>2.4464746272357951</v>
      </c>
      <c r="GS13" s="21">
        <f t="shared" si="115"/>
        <v>4.4221490689476006</v>
      </c>
      <c r="GT13" s="21">
        <f t="shared" si="116"/>
        <v>-0.95001438263230265</v>
      </c>
      <c r="GU13" s="21">
        <f t="shared" si="117"/>
        <v>4.3530888611009066</v>
      </c>
      <c r="GV13" s="21">
        <f t="shared" si="118"/>
        <v>2.5871919449361958</v>
      </c>
      <c r="GW13" s="21">
        <f t="shared" si="119"/>
        <v>6.2462634478499757</v>
      </c>
      <c r="GY13" s="21">
        <f t="shared" si="120"/>
        <v>2.3510526201955484</v>
      </c>
      <c r="GZ13" s="21">
        <f t="shared" si="121"/>
        <v>6.6954638035383045</v>
      </c>
      <c r="HA13" s="21">
        <f t="shared" si="122"/>
        <v>11.422550916177055</v>
      </c>
      <c r="HB13" s="21">
        <f t="shared" si="123"/>
        <v>4.7370539740612116</v>
      </c>
      <c r="HC13" s="21">
        <f t="shared" si="124"/>
        <v>-0.42548253538305936</v>
      </c>
      <c r="HF13" s="44">
        <f t="shared" si="125"/>
        <v>2.7048563037894758E-2</v>
      </c>
      <c r="HG13" s="44">
        <f t="shared" si="126"/>
        <v>1.3283682314876991E-2</v>
      </c>
      <c r="HH13" s="8"/>
      <c r="HI13" s="44">
        <f t="shared" si="11"/>
        <v>3.4494665119919388</v>
      </c>
      <c r="HJ13" s="44">
        <f t="shared" si="12"/>
        <v>2.0629989011659688</v>
      </c>
      <c r="HK13" s="8"/>
      <c r="HL13" s="44">
        <f t="shared" si="127"/>
        <v>1.3864676108259699</v>
      </c>
      <c r="HN13" s="9">
        <v>0</v>
      </c>
      <c r="HP13" s="57"/>
    </row>
    <row r="14" spans="1:224" s="11" customFormat="1" ht="15">
      <c r="A14" s="11">
        <v>2011</v>
      </c>
      <c r="B14" s="61">
        <v>582048</v>
      </c>
      <c r="C14" s="61">
        <v>18523</v>
      </c>
      <c r="D14" s="61">
        <v>45955</v>
      </c>
      <c r="E14" s="61">
        <v>-23344</v>
      </c>
      <c r="F14" s="61">
        <v>-4089</v>
      </c>
      <c r="G14" s="61">
        <v>74828</v>
      </c>
      <c r="H14" s="61">
        <v>7137</v>
      </c>
      <c r="I14" s="61">
        <v>9126</v>
      </c>
      <c r="J14" s="61">
        <v>-3135</v>
      </c>
      <c r="K14" s="61">
        <v>1146</v>
      </c>
      <c r="L14" s="61">
        <v>51750</v>
      </c>
      <c r="M14" s="61">
        <v>-3513</v>
      </c>
      <c r="N14" s="61">
        <v>929</v>
      </c>
      <c r="O14" s="61">
        <v>-2742</v>
      </c>
      <c r="P14" s="61">
        <v>-1699</v>
      </c>
      <c r="Q14" s="62">
        <v>210574</v>
      </c>
      <c r="R14" s="61">
        <v>-6681</v>
      </c>
      <c r="S14" s="61">
        <v>5194</v>
      </c>
      <c r="T14" s="61">
        <v>-8785</v>
      </c>
      <c r="U14" s="61">
        <v>-3091</v>
      </c>
      <c r="V14" s="61">
        <v>4188</v>
      </c>
      <c r="W14" s="61">
        <v>-99</v>
      </c>
      <c r="X14" s="61">
        <v>6155</v>
      </c>
      <c r="Y14" s="61">
        <v>-1</v>
      </c>
      <c r="Z14" s="61">
        <v>-6253</v>
      </c>
      <c r="AA14" s="61">
        <v>140192</v>
      </c>
      <c r="AB14" s="61">
        <v>10491</v>
      </c>
      <c r="AC14" s="61">
        <v>10761</v>
      </c>
      <c r="AD14" s="61">
        <v>-3121</v>
      </c>
      <c r="AE14" s="61">
        <v>2851</v>
      </c>
      <c r="AF14" s="61">
        <v>100517</v>
      </c>
      <c r="AG14" s="61">
        <v>11187</v>
      </c>
      <c r="AH14" s="61">
        <v>13790</v>
      </c>
      <c r="AI14" s="61">
        <v>-5560</v>
      </c>
      <c r="AJ14" s="61">
        <v>2957</v>
      </c>
      <c r="AK14" s="61">
        <v>329038</v>
      </c>
      <c r="AL14" s="61">
        <v>17008</v>
      </c>
      <c r="AM14" s="61">
        <v>37180</v>
      </c>
      <c r="AN14" s="61">
        <v>-4103</v>
      </c>
      <c r="AO14" s="61">
        <v>-16069</v>
      </c>
      <c r="AP14" s="61">
        <v>17548</v>
      </c>
      <c r="AQ14" s="61">
        <v>46</v>
      </c>
      <c r="AR14" s="61">
        <v>-140</v>
      </c>
      <c r="AS14" s="61">
        <v>0</v>
      </c>
      <c r="AT14" s="61">
        <v>187</v>
      </c>
      <c r="AU14" s="61">
        <v>65841</v>
      </c>
      <c r="AV14" s="61">
        <v>-14696</v>
      </c>
      <c r="AW14" s="61">
        <v>551</v>
      </c>
      <c r="AX14" s="61">
        <v>0</v>
      </c>
      <c r="AY14" s="61">
        <v>-15246</v>
      </c>
      <c r="AZ14" s="61">
        <v>91639</v>
      </c>
      <c r="BA14" s="61">
        <v>19725</v>
      </c>
      <c r="BB14" s="61">
        <v>20869</v>
      </c>
      <c r="BC14" s="61">
        <v>-233</v>
      </c>
      <c r="BD14" s="61">
        <v>-911</v>
      </c>
      <c r="BE14" s="61">
        <v>5641</v>
      </c>
      <c r="BF14" s="61">
        <v>374</v>
      </c>
      <c r="BG14" s="61">
        <v>6286</v>
      </c>
      <c r="BH14" s="61">
        <v>0</v>
      </c>
      <c r="BI14" s="61">
        <v>-5912</v>
      </c>
      <c r="BJ14" s="61">
        <v>148369</v>
      </c>
      <c r="BK14" s="61">
        <v>11558</v>
      </c>
      <c r="BL14" s="61">
        <v>9614</v>
      </c>
      <c r="BM14" s="61">
        <v>-3870</v>
      </c>
      <c r="BN14" s="61">
        <v>5814</v>
      </c>
      <c r="BP14" s="54">
        <f>yield!M19</f>
        <v>-0.28333333333330502</v>
      </c>
      <c r="BQ14" s="9"/>
      <c r="BR14" s="11">
        <f t="shared" si="13"/>
        <v>-21179</v>
      </c>
      <c r="BS14" s="11">
        <f t="shared" si="14"/>
        <v>-1989</v>
      </c>
      <c r="BT14" s="11">
        <f t="shared" si="15"/>
        <v>-4442</v>
      </c>
      <c r="BU14" s="11">
        <f t="shared" si="16"/>
        <v>-11875</v>
      </c>
      <c r="BV14" s="11">
        <f t="shared" si="17"/>
        <v>-270</v>
      </c>
      <c r="BW14" s="11">
        <f t="shared" si="18"/>
        <v>-2603</v>
      </c>
      <c r="BX14" s="11">
        <f t="shared" si="19"/>
        <v>-14261</v>
      </c>
      <c r="BY14" s="11">
        <f t="shared" si="20"/>
        <v>186</v>
      </c>
      <c r="BZ14" s="11">
        <f t="shared" si="21"/>
        <v>-15247</v>
      </c>
      <c r="CA14" s="11">
        <f t="shared" si="22"/>
        <v>-1144</v>
      </c>
      <c r="CB14" s="11">
        <f t="shared" si="23"/>
        <v>1944</v>
      </c>
      <c r="CC14" s="21">
        <f t="shared" si="24"/>
        <v>-3.513726150851848</v>
      </c>
      <c r="CD14" s="21">
        <f t="shared" si="25"/>
        <v>-2.662562812804159</v>
      </c>
      <c r="CE14" s="21">
        <f t="shared" si="26"/>
        <v>-7.7766281739053085</v>
      </c>
      <c r="CF14" s="21">
        <f t="shared" si="27"/>
        <v>-5.1973195416825995</v>
      </c>
      <c r="CG14" s="21">
        <f t="shared" si="28"/>
        <v>7.5375796865961853E-2</v>
      </c>
      <c r="CH14" s="21">
        <f t="shared" si="29"/>
        <v>-2.6380558565699541</v>
      </c>
      <c r="CI14" s="21">
        <f t="shared" si="30"/>
        <v>-4.3779213593914896</v>
      </c>
      <c r="CJ14" s="21">
        <f t="shared" si="31"/>
        <v>1.3498937195554062</v>
      </c>
      <c r="CK14" s="21">
        <f t="shared" si="32"/>
        <v>-18.701324911271545</v>
      </c>
      <c r="CL14" s="21">
        <f t="shared" si="33"/>
        <v>-1.3111706481395591</v>
      </c>
      <c r="CM14" s="21">
        <f t="shared" si="34"/>
        <v>1.7091141984003855</v>
      </c>
      <c r="CN14" s="21"/>
      <c r="CO14" s="21">
        <f t="shared" si="35"/>
        <v>0.8641952085396416</v>
      </c>
      <c r="CP14" s="21">
        <f t="shared" si="36"/>
        <v>-4.0124565323595647</v>
      </c>
      <c r="CQ14" s="21">
        <f t="shared" si="37"/>
        <v>10.924696737366236</v>
      </c>
      <c r="CR14" s="21">
        <f t="shared" si="38"/>
        <v>-3.8861488935430404</v>
      </c>
      <c r="CS14" s="21">
        <f t="shared" si="39"/>
        <v>-1.6337384015344236</v>
      </c>
      <c r="CU14" s="23">
        <f>Balance_on_income!B19</f>
        <v>18128.8</v>
      </c>
      <c r="CV14" s="23">
        <f>Balance_on_income!C19</f>
        <v>4701.1000000000004</v>
      </c>
      <c r="CW14" s="23">
        <f>Balance_on_income!D19</f>
        <v>4364</v>
      </c>
      <c r="CX14" s="23">
        <f>Balance_on_income!E19</f>
        <v>7816.6</v>
      </c>
      <c r="CY14" s="23">
        <f>Balance_on_income!F19</f>
        <v>1247.0999999999999</v>
      </c>
      <c r="CZ14" s="23">
        <f>Balance_on_income!G19</f>
        <v>4084.7</v>
      </c>
      <c r="DA14" s="23">
        <f>Balance_on_income!H19</f>
        <v>879.4</v>
      </c>
      <c r="DB14" s="23">
        <f>Balance_on_income!I19</f>
        <v>1742.6</v>
      </c>
      <c r="DC14" s="23">
        <f>Balance_on_income!J19</f>
        <v>899.5</v>
      </c>
      <c r="DD14" s="23">
        <f>Balance_on_income!K19</f>
        <v>563.20000000000005</v>
      </c>
      <c r="DE14" s="21">
        <f t="shared" si="40"/>
        <v>3.5350344082809348</v>
      </c>
      <c r="DF14" s="21">
        <f t="shared" si="41"/>
        <v>7.2488126175641598</v>
      </c>
      <c r="DG14" s="21">
        <f t="shared" si="42"/>
        <v>8.2033606555272023</v>
      </c>
      <c r="DH14" s="21">
        <f t="shared" si="43"/>
        <v>3.8922532624511952</v>
      </c>
      <c r="DI14" s="21">
        <f t="shared" si="44"/>
        <v>1.2483896237036385</v>
      </c>
      <c r="DJ14" s="21">
        <f t="shared" si="45"/>
        <v>1.619466592585117</v>
      </c>
      <c r="DK14" s="21">
        <f t="shared" si="46"/>
        <v>5.3229837413294678</v>
      </c>
      <c r="DL14" s="21">
        <f t="shared" si="47"/>
        <v>2.4540123576434647</v>
      </c>
      <c r="DM14" s="21">
        <f t="shared" si="48"/>
        <v>1.5384919600351932</v>
      </c>
      <c r="DN14" s="21">
        <f t="shared" si="49"/>
        <v>0.69697088907711979</v>
      </c>
      <c r="DP14" s="21">
        <f t="shared" si="50"/>
        <v>1.9155678156958178</v>
      </c>
      <c r="DQ14" s="21">
        <f t="shared" si="51"/>
        <v>1.925828876234692</v>
      </c>
      <c r="DR14" s="21">
        <f t="shared" si="52"/>
        <v>5.7493482978837376</v>
      </c>
      <c r="DS14" s="21">
        <f t="shared" si="53"/>
        <v>2.353761302416002</v>
      </c>
      <c r="DT14" s="21">
        <f t="shared" si="54"/>
        <v>0.55141873462651869</v>
      </c>
      <c r="DU14" s="21"/>
      <c r="DV14" s="11">
        <f t="shared" si="55"/>
        <v>2164</v>
      </c>
      <c r="DW14" s="11">
        <f t="shared" si="56"/>
        <v>1146</v>
      </c>
      <c r="DX14" s="11">
        <f t="shared" si="57"/>
        <v>-1700</v>
      </c>
      <c r="DY14" s="11">
        <f t="shared" si="58"/>
        <v>-3090</v>
      </c>
      <c r="DZ14" s="11">
        <f t="shared" si="59"/>
        <v>2851</v>
      </c>
      <c r="EA14" s="11">
        <f t="shared" si="60"/>
        <v>2957</v>
      </c>
      <c r="EB14" s="11">
        <f t="shared" si="61"/>
        <v>-10158</v>
      </c>
      <c r="EC14" s="11">
        <f t="shared" si="62"/>
        <v>186</v>
      </c>
      <c r="ED14" s="11">
        <f t="shared" si="63"/>
        <v>-15247</v>
      </c>
      <c r="EE14" s="11">
        <f t="shared" si="64"/>
        <v>-911</v>
      </c>
      <c r="EF14" s="11">
        <f t="shared" si="65"/>
        <v>5814</v>
      </c>
      <c r="EG14" s="21">
        <f t="shared" si="0"/>
        <v>0.67219159910709703</v>
      </c>
      <c r="EH14" s="21">
        <f t="shared" si="1"/>
        <v>1.981936069754342</v>
      </c>
      <c r="EI14" s="21">
        <f t="shared" si="2"/>
        <v>-2.8008015363509275</v>
      </c>
      <c r="EJ14" s="21">
        <f t="shared" si="3"/>
        <v>-1.142194661819329</v>
      </c>
      <c r="EK14" s="21">
        <f t="shared" si="4"/>
        <v>2.4885167589385748</v>
      </c>
      <c r="EL14" s="21">
        <f t="shared" si="5"/>
        <v>3.6037420776082296</v>
      </c>
      <c r="EM14" s="21">
        <f t="shared" si="6"/>
        <v>-3.0366107107403062</v>
      </c>
      <c r="EN14" s="21">
        <f t="shared" si="7"/>
        <v>1.3498937195554062</v>
      </c>
      <c r="EO14" s="21">
        <f t="shared" si="8"/>
        <v>-18.701324911271545</v>
      </c>
      <c r="EP14" s="21">
        <f t="shared" si="9"/>
        <v>-0.98625193627035479</v>
      </c>
      <c r="EQ14" s="21">
        <f t="shared" si="10"/>
        <v>4.545871590550643</v>
      </c>
      <c r="ES14" s="21">
        <f t="shared" si="66"/>
        <v>3.7088023098474032</v>
      </c>
      <c r="ET14" s="21">
        <f t="shared" si="67"/>
        <v>0.63204235019893584</v>
      </c>
      <c r="EU14" s="21">
        <f t="shared" si="68"/>
        <v>15.900523374920617</v>
      </c>
      <c r="EV14" s="21">
        <f t="shared" si="69"/>
        <v>-0.15594272554897426</v>
      </c>
      <c r="EW14" s="21">
        <f t="shared" si="70"/>
        <v>-2.0573548316120682</v>
      </c>
      <c r="EX14" s="21"/>
      <c r="EY14" s="23">
        <f t="shared" si="71"/>
        <v>-3050.1999999999994</v>
      </c>
      <c r="EZ14" s="23">
        <f t="shared" si="72"/>
        <v>2712.1000000000004</v>
      </c>
      <c r="FA14" s="23">
        <f t="shared" si="73"/>
        <v>-78</v>
      </c>
      <c r="FB14" s="23">
        <f t="shared" si="74"/>
        <v>-4058.3999999999996</v>
      </c>
      <c r="FC14" s="23">
        <f t="shared" si="75"/>
        <v>977.09999999999991</v>
      </c>
      <c r="FD14" s="23">
        <f t="shared" si="76"/>
        <v>-2603</v>
      </c>
      <c r="FE14" s="23">
        <f t="shared" si="77"/>
        <v>-10176.299999999999</v>
      </c>
      <c r="FF14" s="23">
        <f t="shared" si="78"/>
        <v>1065.4000000000001</v>
      </c>
      <c r="FG14" s="23">
        <f t="shared" si="79"/>
        <v>-13504.4</v>
      </c>
      <c r="FH14" s="23">
        <f t="shared" si="80"/>
        <v>-244.5</v>
      </c>
      <c r="FI14" s="23">
        <f t="shared" si="81"/>
        <v>2507.1999999999998</v>
      </c>
      <c r="FJ14" s="21">
        <f t="shared" si="82"/>
        <v>-0.26283013468187955</v>
      </c>
      <c r="FK14" s="21">
        <f t="shared" si="83"/>
        <v>4.3021114126490456</v>
      </c>
      <c r="FL14" s="21">
        <f t="shared" si="84"/>
        <v>0.14259408951093899</v>
      </c>
      <c r="FM14" s="21">
        <f t="shared" si="85"/>
        <v>-1.5892046713423369</v>
      </c>
      <c r="FN14" s="21">
        <f t="shared" si="86"/>
        <v>1.039627028458634</v>
      </c>
      <c r="FO14" s="21">
        <f t="shared" si="87"/>
        <v>-2.6380558565699541</v>
      </c>
      <c r="FP14" s="21">
        <f t="shared" si="88"/>
        <v>-3.0425931589173283</v>
      </c>
      <c r="FQ14" s="21">
        <f t="shared" si="89"/>
        <v>6.3887390687738854</v>
      </c>
      <c r="FR14" s="21">
        <f t="shared" si="90"/>
        <v>-16.531450945739014</v>
      </c>
      <c r="FS14" s="21">
        <f t="shared" si="91"/>
        <v>-5.681708021532117E-2</v>
      </c>
      <c r="FT14" s="21">
        <f t="shared" si="92"/>
        <v>2.1219466953665389</v>
      </c>
      <c r="FV14" s="21">
        <f t="shared" si="93"/>
        <v>2.7797630242354487</v>
      </c>
      <c r="FW14" s="21">
        <f t="shared" si="94"/>
        <v>-2.0866276561248398</v>
      </c>
      <c r="FX14" s="21">
        <f t="shared" si="95"/>
        <v>16.674045035249954</v>
      </c>
      <c r="FY14" s="21">
        <f t="shared" si="96"/>
        <v>-1.5323875911270157</v>
      </c>
      <c r="FZ14" s="21">
        <f t="shared" si="97"/>
        <v>-1.0823196669079049</v>
      </c>
      <c r="GB14" s="23">
        <f t="shared" si="98"/>
        <v>20292.800000000003</v>
      </c>
      <c r="GC14" s="23">
        <f t="shared" si="99"/>
        <v>5847.1</v>
      </c>
      <c r="GD14" s="23">
        <f t="shared" si="100"/>
        <v>2664</v>
      </c>
      <c r="GE14" s="23">
        <f t="shared" si="101"/>
        <v>4726.6000000000004</v>
      </c>
      <c r="GF14" s="23">
        <f t="shared" si="102"/>
        <v>4098.1000000000004</v>
      </c>
      <c r="GG14" s="23">
        <f t="shared" si="103"/>
        <v>2957</v>
      </c>
      <c r="GH14" s="23">
        <f t="shared" si="104"/>
        <v>-6073.3</v>
      </c>
      <c r="GI14" s="23">
        <f t="shared" si="105"/>
        <v>1065.4000000000001</v>
      </c>
      <c r="GJ14" s="23">
        <f t="shared" si="106"/>
        <v>-13504.4</v>
      </c>
      <c r="GK14" s="23">
        <f t="shared" si="107"/>
        <v>-11.5</v>
      </c>
      <c r="GL14" s="23">
        <f t="shared" si="108"/>
        <v>6377.2</v>
      </c>
      <c r="GM14" s="21">
        <f t="shared" si="109"/>
        <v>3.9230876152770877</v>
      </c>
      <c r="GN14" s="21">
        <f t="shared" si="110"/>
        <v>8.9466102952075577</v>
      </c>
      <c r="GO14" s="21">
        <f t="shared" si="111"/>
        <v>5.1184207270653204</v>
      </c>
      <c r="GP14" s="21">
        <f t="shared" si="112"/>
        <v>2.4659202085209442</v>
      </c>
      <c r="GQ14" s="21">
        <f t="shared" si="113"/>
        <v>3.4527679905312469</v>
      </c>
      <c r="GR14" s="21">
        <f t="shared" si="114"/>
        <v>3.6037420776082296</v>
      </c>
      <c r="GS14" s="21">
        <f t="shared" si="115"/>
        <v>-1.7012825102661444</v>
      </c>
      <c r="GT14" s="21">
        <f t="shared" si="116"/>
        <v>6.3887390687738854</v>
      </c>
      <c r="GU14" s="21">
        <f t="shared" si="117"/>
        <v>-16.531450945739014</v>
      </c>
      <c r="GV14" s="21">
        <f t="shared" si="118"/>
        <v>0.26810163165389422</v>
      </c>
      <c r="GW14" s="21">
        <f t="shared" si="119"/>
        <v>4.9587040875167965</v>
      </c>
      <c r="GY14" s="21">
        <f t="shared" si="120"/>
        <v>5.6243701255432317</v>
      </c>
      <c r="GZ14" s="21">
        <f t="shared" si="121"/>
        <v>2.5578712264336723</v>
      </c>
      <c r="HA14" s="21">
        <f t="shared" si="122"/>
        <v>21.649871672804334</v>
      </c>
      <c r="HB14" s="21">
        <f t="shared" si="123"/>
        <v>2.19781857686705</v>
      </c>
      <c r="HC14" s="21">
        <f t="shared" si="124"/>
        <v>-1.5059360969855495</v>
      </c>
      <c r="HF14" s="44">
        <f t="shared" si="125"/>
        <v>2.5495702659947488E-2</v>
      </c>
      <c r="HG14" s="44">
        <f t="shared" si="126"/>
        <v>1.250799566148455E-2</v>
      </c>
      <c r="HH14" s="8"/>
      <c r="HI14" s="44">
        <f t="shared" si="11"/>
        <v>2.8409529660652133</v>
      </c>
      <c r="HJ14" s="44">
        <f t="shared" si="12"/>
        <v>1.5384919600351932</v>
      </c>
      <c r="HK14" s="8"/>
      <c r="HL14" s="44">
        <f t="shared" si="127"/>
        <v>1.3024610060300201</v>
      </c>
      <c r="HN14" s="9">
        <v>0</v>
      </c>
      <c r="HP14" s="57"/>
    </row>
    <row r="15" spans="1:224" s="11" customFormat="1" ht="15">
      <c r="A15" s="11">
        <v>2012</v>
      </c>
      <c r="B15" s="61">
        <v>661902</v>
      </c>
      <c r="C15" s="61">
        <v>80393</v>
      </c>
      <c r="D15" s="61">
        <v>31396</v>
      </c>
      <c r="E15" s="61">
        <v>49901</v>
      </c>
      <c r="F15" s="61">
        <v>-904</v>
      </c>
      <c r="G15" s="61">
        <v>89813</v>
      </c>
      <c r="H15" s="61">
        <v>15524</v>
      </c>
      <c r="I15" s="61">
        <v>9778</v>
      </c>
      <c r="J15" s="61">
        <v>6812</v>
      </c>
      <c r="K15" s="61">
        <v>-1066</v>
      </c>
      <c r="L15" s="61">
        <v>59475</v>
      </c>
      <c r="M15" s="61">
        <v>7725</v>
      </c>
      <c r="N15" s="61">
        <v>-2135</v>
      </c>
      <c r="O15" s="61">
        <v>5893</v>
      </c>
      <c r="P15" s="61">
        <v>3967</v>
      </c>
      <c r="Q15" s="62">
        <v>245637</v>
      </c>
      <c r="R15" s="61">
        <v>35063</v>
      </c>
      <c r="S15" s="61">
        <v>16832</v>
      </c>
      <c r="T15" s="61">
        <v>18396</v>
      </c>
      <c r="U15" s="61">
        <v>-165</v>
      </c>
      <c r="V15" s="61">
        <v>4623</v>
      </c>
      <c r="W15" s="61">
        <v>435</v>
      </c>
      <c r="X15" s="61">
        <v>5239</v>
      </c>
      <c r="Y15" s="61">
        <v>1</v>
      </c>
      <c r="Z15" s="61">
        <v>-4805</v>
      </c>
      <c r="AA15" s="61">
        <v>152891</v>
      </c>
      <c r="AB15" s="61">
        <v>12699</v>
      </c>
      <c r="AC15" s="61">
        <v>4733</v>
      </c>
      <c r="AD15" s="61">
        <v>7421</v>
      </c>
      <c r="AE15" s="61">
        <v>545</v>
      </c>
      <c r="AF15" s="61">
        <v>109464</v>
      </c>
      <c r="AG15" s="61">
        <v>8947</v>
      </c>
      <c r="AH15" s="61">
        <v>-3052</v>
      </c>
      <c r="AI15" s="61">
        <v>11378</v>
      </c>
      <c r="AJ15" s="61">
        <v>620</v>
      </c>
      <c r="AK15" s="61">
        <v>365588</v>
      </c>
      <c r="AL15" s="61">
        <v>49505</v>
      </c>
      <c r="AM15" s="61">
        <v>26847</v>
      </c>
      <c r="AN15" s="61">
        <v>11225</v>
      </c>
      <c r="AO15" s="61">
        <v>11432</v>
      </c>
      <c r="AP15" s="61">
        <v>17808</v>
      </c>
      <c r="AQ15" s="61">
        <v>260</v>
      </c>
      <c r="AR15" s="61">
        <v>138</v>
      </c>
      <c r="AS15" s="61">
        <v>0</v>
      </c>
      <c r="AT15" s="61">
        <v>122</v>
      </c>
      <c r="AU15" s="61">
        <v>83556</v>
      </c>
      <c r="AV15" s="61">
        <v>17714</v>
      </c>
      <c r="AW15" s="61">
        <v>2351</v>
      </c>
      <c r="AX15" s="61">
        <v>0</v>
      </c>
      <c r="AY15" s="61">
        <v>15363</v>
      </c>
      <c r="AZ15" s="61">
        <v>96948</v>
      </c>
      <c r="BA15" s="61">
        <v>5309</v>
      </c>
      <c r="BB15" s="61">
        <v>6230</v>
      </c>
      <c r="BC15" s="61">
        <v>573</v>
      </c>
      <c r="BD15" s="61">
        <v>-1493</v>
      </c>
      <c r="BE15" s="61">
        <v>5326</v>
      </c>
      <c r="BF15" s="61">
        <v>-315</v>
      </c>
      <c r="BG15" s="61">
        <v>5145</v>
      </c>
      <c r="BH15" s="61">
        <v>0</v>
      </c>
      <c r="BI15" s="61">
        <v>-5460</v>
      </c>
      <c r="BJ15" s="61">
        <v>161950</v>
      </c>
      <c r="BK15" s="61">
        <v>26536</v>
      </c>
      <c r="BL15" s="61">
        <v>12984</v>
      </c>
      <c r="BM15" s="61">
        <v>10652</v>
      </c>
      <c r="BN15" s="61">
        <v>2900</v>
      </c>
      <c r="BP15" s="54">
        <f>yield!M20</f>
        <v>-3.3428046130775199E-2</v>
      </c>
      <c r="BQ15" s="9"/>
      <c r="BR15" s="11">
        <f t="shared" si="13"/>
        <v>53802</v>
      </c>
      <c r="BS15" s="11">
        <f t="shared" si="14"/>
        <v>5746</v>
      </c>
      <c r="BT15" s="11">
        <f t="shared" si="15"/>
        <v>9860</v>
      </c>
      <c r="BU15" s="11">
        <f t="shared" si="16"/>
        <v>18231</v>
      </c>
      <c r="BV15" s="11">
        <f t="shared" si="17"/>
        <v>7966</v>
      </c>
      <c r="BW15" s="11">
        <f t="shared" si="18"/>
        <v>11999</v>
      </c>
      <c r="BX15" s="11">
        <f t="shared" si="19"/>
        <v>28116</v>
      </c>
      <c r="BY15" s="11">
        <f t="shared" si="20"/>
        <v>122</v>
      </c>
      <c r="BZ15" s="11">
        <f t="shared" si="21"/>
        <v>15363</v>
      </c>
      <c r="CA15" s="11">
        <f t="shared" si="22"/>
        <v>-921</v>
      </c>
      <c r="CB15" s="11">
        <f t="shared" si="23"/>
        <v>13552</v>
      </c>
      <c r="CC15" s="21">
        <f t="shared" si="24"/>
        <v>9.3557915633569522</v>
      </c>
      <c r="CD15" s="21">
        <f t="shared" si="25"/>
        <v>7.7706835239356176</v>
      </c>
      <c r="CE15" s="21">
        <f t="shared" si="26"/>
        <v>19.09295054306439</v>
      </c>
      <c r="CF15" s="21">
        <f t="shared" si="27"/>
        <v>8.6940983297813865</v>
      </c>
      <c r="CG15" s="21">
        <f t="shared" si="28"/>
        <v>5.7175465688521054</v>
      </c>
      <c r="CH15" s="21">
        <f t="shared" si="29"/>
        <v>11.974715199928564</v>
      </c>
      <c r="CI15" s="21">
        <f>((1+BX15/(AP15-AQ15+AU15-AV15+AZ15-BA15+BJ15-BK15))/(1+BP15/100)-1)*100</f>
        <v>9.0932027789621284</v>
      </c>
      <c r="CJ15" s="21">
        <f t="shared" si="31"/>
        <v>0.7289076300314612</v>
      </c>
      <c r="CK15" s="21">
        <f t="shared" si="32"/>
        <v>23.374372470489636</v>
      </c>
      <c r="CL15" s="21">
        <f t="shared" si="33"/>
        <v>-0.97192745946714787</v>
      </c>
      <c r="CM15" s="21">
        <f t="shared" si="34"/>
        <v>10.044613610658271</v>
      </c>
      <c r="CN15" s="21"/>
      <c r="CO15" s="21">
        <f t="shared" si="35"/>
        <v>0.2625887843948238</v>
      </c>
      <c r="CP15" s="21">
        <f t="shared" si="36"/>
        <v>7.0417758939041564</v>
      </c>
      <c r="CQ15" s="21">
        <f t="shared" si="37"/>
        <v>-4.2814219274252459</v>
      </c>
      <c r="CR15" s="21">
        <f t="shared" si="38"/>
        <v>9.6660257892485344</v>
      </c>
      <c r="CS15" s="21">
        <f t="shared" si="39"/>
        <v>-4.3270670418061652</v>
      </c>
      <c r="CU15" s="23">
        <f>Balance_on_income!B20</f>
        <v>18750.899999999998</v>
      </c>
      <c r="CV15" s="23">
        <f>Balance_on_income!C20</f>
        <v>5433.5</v>
      </c>
      <c r="CW15" s="23">
        <f>Balance_on_income!D20</f>
        <v>4613.1000000000004</v>
      </c>
      <c r="CX15" s="23">
        <f>Balance_on_income!E20</f>
        <v>7501.2</v>
      </c>
      <c r="CY15" s="23">
        <f>Balance_on_income!F20</f>
        <v>1203.0999999999999</v>
      </c>
      <c r="CZ15" s="23">
        <f>Balance_on_income!G20</f>
        <v>4473.1000000000004</v>
      </c>
      <c r="DA15" s="23">
        <f>Balance_on_income!H20</f>
        <v>1219.5</v>
      </c>
      <c r="DB15" s="23">
        <f>Balance_on_income!I20</f>
        <v>1783.3</v>
      </c>
      <c r="DC15" s="23">
        <f>Balance_on_income!J20</f>
        <v>934.7</v>
      </c>
      <c r="DD15" s="23">
        <f>Balance_on_income!K20</f>
        <v>535.6</v>
      </c>
      <c r="DE15" s="21">
        <f t="shared" si="40"/>
        <v>3.2824354785520926</v>
      </c>
      <c r="DF15" s="21">
        <f t="shared" si="41"/>
        <v>7.34988838929167</v>
      </c>
      <c r="DG15" s="21">
        <f t="shared" si="42"/>
        <v>8.9506229630545775</v>
      </c>
      <c r="DH15" s="21">
        <f t="shared" si="43"/>
        <v>3.596893564768</v>
      </c>
      <c r="DI15" s="21">
        <f t="shared" si="44"/>
        <v>0.89190640301235469</v>
      </c>
      <c r="DJ15" s="21">
        <f t="shared" si="45"/>
        <v>1.4747974670882069</v>
      </c>
      <c r="DK15" s="21">
        <f t="shared" si="46"/>
        <v>6.9852730020721676</v>
      </c>
      <c r="DL15" s="21">
        <f t="shared" si="47"/>
        <v>2.7427984807413708</v>
      </c>
      <c r="DM15" s="21">
        <f t="shared" si="48"/>
        <v>1.0537608737574145</v>
      </c>
      <c r="DN15" s="21">
        <f t="shared" si="49"/>
        <v>0.42909927448913088</v>
      </c>
      <c r="DP15" s="21">
        <f t="shared" si="50"/>
        <v>1.8076380114638857</v>
      </c>
      <c r="DQ15" s="21">
        <f t="shared" si="51"/>
        <v>0.36461538721950237</v>
      </c>
      <c r="DR15" s="21">
        <f t="shared" si="52"/>
        <v>6.2078244823132067</v>
      </c>
      <c r="DS15" s="21">
        <f t="shared" si="53"/>
        <v>2.5431326910105856</v>
      </c>
      <c r="DT15" s="21">
        <f t="shared" si="54"/>
        <v>0.46280712852322381</v>
      </c>
      <c r="DU15" s="21"/>
      <c r="DV15" s="11">
        <f t="shared" si="55"/>
        <v>3902</v>
      </c>
      <c r="DW15" s="11">
        <f t="shared" si="56"/>
        <v>-1066</v>
      </c>
      <c r="DX15" s="11">
        <f t="shared" si="57"/>
        <v>3967</v>
      </c>
      <c r="DY15" s="11">
        <f t="shared" si="58"/>
        <v>-165</v>
      </c>
      <c r="DZ15" s="11">
        <f t="shared" si="59"/>
        <v>545</v>
      </c>
      <c r="EA15" s="11">
        <f t="shared" si="60"/>
        <v>621</v>
      </c>
      <c r="EB15" s="11">
        <f t="shared" si="61"/>
        <v>16891</v>
      </c>
      <c r="EC15" s="11">
        <f t="shared" si="62"/>
        <v>122</v>
      </c>
      <c r="ED15" s="11">
        <f t="shared" si="63"/>
        <v>15363</v>
      </c>
      <c r="EE15" s="11">
        <f t="shared" si="64"/>
        <v>-1494</v>
      </c>
      <c r="EF15" s="11">
        <f t="shared" si="65"/>
        <v>2900</v>
      </c>
      <c r="EG15" s="21">
        <f t="shared" si="0"/>
        <v>0.70954455165797015</v>
      </c>
      <c r="EH15" s="21">
        <f t="shared" si="1"/>
        <v>-1.4019771390874292</v>
      </c>
      <c r="EI15" s="21">
        <f t="shared" si="2"/>
        <v>7.7017030580736723</v>
      </c>
      <c r="EJ15" s="21">
        <f t="shared" si="3"/>
        <v>-4.4944229929544388E-2</v>
      </c>
      <c r="EK15" s="21">
        <f t="shared" si="4"/>
        <v>0.42232178795975628</v>
      </c>
      <c r="EL15" s="21">
        <f t="shared" si="5"/>
        <v>0.65145175699790059</v>
      </c>
      <c r="EM15" s="21">
        <f t="shared" si="6"/>
        <v>5.4761930371036938</v>
      </c>
      <c r="EN15" s="21">
        <f t="shared" si="7"/>
        <v>0.7289076300314612</v>
      </c>
      <c r="EO15" s="21">
        <f t="shared" si="8"/>
        <v>23.374372470489636</v>
      </c>
      <c r="EP15" s="21">
        <f t="shared" si="9"/>
        <v>-1.5974161779764406</v>
      </c>
      <c r="EQ15" s="21">
        <f t="shared" si="10"/>
        <v>2.1757359863632475</v>
      </c>
      <c r="ES15" s="21">
        <f t="shared" si="66"/>
        <v>-4.7666484854457236</v>
      </c>
      <c r="ET15" s="21">
        <f t="shared" si="67"/>
        <v>-2.1308847691188904</v>
      </c>
      <c r="EU15" s="21">
        <f t="shared" si="68"/>
        <v>-15.672669412415964</v>
      </c>
      <c r="EV15" s="21">
        <f t="shared" si="69"/>
        <v>1.5524719480468963</v>
      </c>
      <c r="EW15" s="21">
        <f t="shared" si="70"/>
        <v>-1.7534141984034912</v>
      </c>
      <c r="EX15" s="21"/>
      <c r="EY15" s="23">
        <f t="shared" si="71"/>
        <v>72552.899999999994</v>
      </c>
      <c r="EZ15" s="23">
        <f t="shared" si="72"/>
        <v>11179.5</v>
      </c>
      <c r="FA15" s="23">
        <f t="shared" si="73"/>
        <v>14473.1</v>
      </c>
      <c r="FB15" s="23">
        <f t="shared" si="74"/>
        <v>25732.2</v>
      </c>
      <c r="FC15" s="23">
        <f t="shared" si="75"/>
        <v>9169.1</v>
      </c>
      <c r="FD15" s="23">
        <f t="shared" si="76"/>
        <v>11999</v>
      </c>
      <c r="FE15" s="23">
        <f t="shared" si="77"/>
        <v>32589.1</v>
      </c>
      <c r="FF15" s="23">
        <f t="shared" si="78"/>
        <v>1341.5</v>
      </c>
      <c r="FG15" s="23">
        <f t="shared" si="79"/>
        <v>17146.3</v>
      </c>
      <c r="FH15" s="23">
        <f t="shared" si="80"/>
        <v>13.700000000000045</v>
      </c>
      <c r="FI15" s="23">
        <f t="shared" si="81"/>
        <v>14087.6</v>
      </c>
      <c r="FJ15" s="21">
        <f t="shared" si="82"/>
        <v>12.604787817698959</v>
      </c>
      <c r="FK15" s="21">
        <f t="shared" si="83"/>
        <v>15.087132689017203</v>
      </c>
      <c r="FL15" s="21">
        <f t="shared" si="84"/>
        <v>28.010134281908904</v>
      </c>
      <c r="FM15" s="21">
        <f t="shared" si="85"/>
        <v>12.257552670339301</v>
      </c>
      <c r="FN15" s="21">
        <f t="shared" si="86"/>
        <v>6.5760137476543745</v>
      </c>
      <c r="FO15" s="21">
        <f t="shared" si="87"/>
        <v>11.974715199928564</v>
      </c>
      <c r="FP15" s="21">
        <f t="shared" si="88"/>
        <v>10.534561021840227</v>
      </c>
      <c r="FQ15" s="21">
        <f t="shared" si="89"/>
        <v>7.6807414078935654</v>
      </c>
      <c r="FR15" s="21">
        <f t="shared" si="90"/>
        <v>26.083731727020943</v>
      </c>
      <c r="FS15" s="21">
        <f t="shared" si="91"/>
        <v>4.8394190080180977E-2</v>
      </c>
      <c r="FT15" s="21">
        <f t="shared" si="92"/>
        <v>10.440273660937294</v>
      </c>
      <c r="FV15" s="21">
        <f t="shared" si="93"/>
        <v>2.0702267958587317</v>
      </c>
      <c r="FW15" s="21">
        <f t="shared" si="94"/>
        <v>7.4063912811236374</v>
      </c>
      <c r="FX15" s="21">
        <f t="shared" si="95"/>
        <v>1.9264025548879609</v>
      </c>
      <c r="FY15" s="21">
        <f t="shared" si="96"/>
        <v>12.20915848025912</v>
      </c>
      <c r="FZ15" s="21">
        <f t="shared" si="97"/>
        <v>-3.8642599132829192</v>
      </c>
      <c r="GB15" s="23">
        <f t="shared" si="98"/>
        <v>22652.899999999998</v>
      </c>
      <c r="GC15" s="23">
        <f t="shared" si="99"/>
        <v>4367.5</v>
      </c>
      <c r="GD15" s="23">
        <f t="shared" si="100"/>
        <v>8580.1</v>
      </c>
      <c r="GE15" s="23">
        <f t="shared" si="101"/>
        <v>7336.2</v>
      </c>
      <c r="GF15" s="23">
        <f t="shared" si="102"/>
        <v>1748.1</v>
      </c>
      <c r="GG15" s="23">
        <f t="shared" si="103"/>
        <v>621</v>
      </c>
      <c r="GH15" s="23">
        <f t="shared" si="104"/>
        <v>21364.1</v>
      </c>
      <c r="GI15" s="23">
        <f t="shared" si="105"/>
        <v>1341.5</v>
      </c>
      <c r="GJ15" s="23">
        <f t="shared" si="106"/>
        <v>17146.3</v>
      </c>
      <c r="GK15" s="23">
        <f t="shared" si="107"/>
        <v>-559.29999999999995</v>
      </c>
      <c r="GL15" s="23">
        <f t="shared" si="108"/>
        <v>3435.6</v>
      </c>
      <c r="GM15" s="21">
        <f t="shared" si="109"/>
        <v>3.9585408059999772</v>
      </c>
      <c r="GN15" s="21">
        <f t="shared" si="110"/>
        <v>5.9144720259941552</v>
      </c>
      <c r="GO15" s="21">
        <f t="shared" si="111"/>
        <v>16.618886796918186</v>
      </c>
      <c r="GP15" s="21">
        <f t="shared" si="112"/>
        <v>3.5185101106283811</v>
      </c>
      <c r="GQ15" s="21">
        <f t="shared" si="113"/>
        <v>1.2807889667620254</v>
      </c>
      <c r="GR15" s="21">
        <f t="shared" si="114"/>
        <v>0.65145175699790059</v>
      </c>
      <c r="GS15" s="21">
        <f t="shared" si="115"/>
        <v>6.9175512799818151</v>
      </c>
      <c r="GT15" s="21">
        <f t="shared" si="116"/>
        <v>7.6807414078935654</v>
      </c>
      <c r="GU15" s="21">
        <f t="shared" si="117"/>
        <v>26.083731727020943</v>
      </c>
      <c r="GV15" s="21">
        <f t="shared" si="118"/>
        <v>-0.57709452842908959</v>
      </c>
      <c r="GW15" s="21">
        <f t="shared" si="119"/>
        <v>2.5713960366422928</v>
      </c>
      <c r="GY15" s="21">
        <f t="shared" si="120"/>
        <v>-2.9590104739818379</v>
      </c>
      <c r="GZ15" s="21">
        <f t="shared" si="121"/>
        <v>-1.7662693818994102</v>
      </c>
      <c r="HA15" s="21">
        <f t="shared" si="122"/>
        <v>-9.4648449301027568</v>
      </c>
      <c r="HB15" s="21">
        <f t="shared" si="123"/>
        <v>4.0956046390574707</v>
      </c>
      <c r="HC15" s="21">
        <f t="shared" si="124"/>
        <v>-1.2906070698802674</v>
      </c>
      <c r="HF15" s="44">
        <f t="shared" si="125"/>
        <v>2.4112558704687696E-2</v>
      </c>
      <c r="HG15" s="44">
        <f t="shared" si="126"/>
        <v>1.0199805759556521E-2</v>
      </c>
      <c r="HH15" s="8"/>
      <c r="HI15" s="44">
        <f t="shared" si="11"/>
        <v>2.4455013999356456</v>
      </c>
      <c r="HJ15" s="44">
        <f t="shared" si="12"/>
        <v>1.0537608737574145</v>
      </c>
      <c r="HK15" s="8"/>
      <c r="HL15" s="44">
        <f t="shared" si="127"/>
        <v>1.3917405261782312</v>
      </c>
      <c r="HN15" s="9">
        <v>0</v>
      </c>
      <c r="HP15" s="57"/>
    </row>
    <row r="16" spans="1:224" s="11" customFormat="1" ht="15">
      <c r="A16" s="11">
        <v>2013</v>
      </c>
      <c r="B16" s="23">
        <v>797077</v>
      </c>
      <c r="C16" s="23">
        <v>135174</v>
      </c>
      <c r="D16" s="23">
        <v>38908</v>
      </c>
      <c r="E16" s="23">
        <v>105267</v>
      </c>
      <c r="F16" s="23">
        <v>-9001</v>
      </c>
      <c r="G16" s="23">
        <v>117726</v>
      </c>
      <c r="H16" s="23">
        <v>27914</v>
      </c>
      <c r="I16" s="23">
        <v>13248</v>
      </c>
      <c r="J16" s="23">
        <v>14580</v>
      </c>
      <c r="K16" s="23">
        <v>86</v>
      </c>
      <c r="L16" s="23">
        <v>74760</v>
      </c>
      <c r="M16" s="23">
        <v>15286</v>
      </c>
      <c r="N16" s="23">
        <v>-6616</v>
      </c>
      <c r="O16" s="23">
        <v>12158</v>
      </c>
      <c r="P16" s="23">
        <v>9744</v>
      </c>
      <c r="Q16" s="91">
        <v>284455</v>
      </c>
      <c r="R16" s="23">
        <v>38818</v>
      </c>
      <c r="S16" s="23">
        <v>547</v>
      </c>
      <c r="T16" s="23">
        <v>36412</v>
      </c>
      <c r="U16" s="23">
        <v>1858</v>
      </c>
      <c r="V16" s="23">
        <v>8207</v>
      </c>
      <c r="W16" s="23">
        <v>3584</v>
      </c>
      <c r="X16" s="23">
        <v>11918</v>
      </c>
      <c r="Y16" s="23">
        <v>5</v>
      </c>
      <c r="Z16" s="23">
        <v>-8339</v>
      </c>
      <c r="AA16" s="23">
        <v>178398</v>
      </c>
      <c r="AB16" s="23">
        <v>25507</v>
      </c>
      <c r="AC16" s="23">
        <v>15959</v>
      </c>
      <c r="AD16" s="23">
        <v>17269</v>
      </c>
      <c r="AE16" s="23">
        <v>-7721</v>
      </c>
      <c r="AF16" s="23">
        <v>133529</v>
      </c>
      <c r="AG16" s="23">
        <v>24066</v>
      </c>
      <c r="AH16" s="23">
        <v>3850</v>
      </c>
      <c r="AI16" s="23">
        <v>24844</v>
      </c>
      <c r="AJ16" s="23">
        <v>-4629</v>
      </c>
      <c r="AK16" s="23">
        <v>472070</v>
      </c>
      <c r="AL16" s="23">
        <v>106482</v>
      </c>
      <c r="AM16" s="23">
        <v>45612</v>
      </c>
      <c r="AN16" s="23">
        <v>24797</v>
      </c>
      <c r="AO16" s="23">
        <v>36074</v>
      </c>
      <c r="AP16" s="23">
        <v>17976</v>
      </c>
      <c r="AQ16" s="23">
        <v>168</v>
      </c>
      <c r="AR16" s="23">
        <v>225</v>
      </c>
      <c r="AS16" s="23">
        <v>0</v>
      </c>
      <c r="AT16" s="23">
        <v>-57</v>
      </c>
      <c r="AU16" s="23">
        <v>150947</v>
      </c>
      <c r="AV16" s="23">
        <v>67391</v>
      </c>
      <c r="AW16" s="23">
        <v>17035</v>
      </c>
      <c r="AX16" s="23">
        <v>0</v>
      </c>
      <c r="AY16" s="23">
        <v>50356</v>
      </c>
      <c r="AZ16" s="23">
        <v>100914</v>
      </c>
      <c r="BA16" s="23">
        <v>3966</v>
      </c>
      <c r="BB16" s="23">
        <v>829</v>
      </c>
      <c r="BC16" s="23">
        <v>1548</v>
      </c>
      <c r="BD16" s="23">
        <v>1589</v>
      </c>
      <c r="BE16" s="23">
        <v>8656</v>
      </c>
      <c r="BF16" s="23">
        <v>3330</v>
      </c>
      <c r="BG16" s="23">
        <v>11441</v>
      </c>
      <c r="BH16" s="23">
        <v>0</v>
      </c>
      <c r="BI16" s="23">
        <v>-8110</v>
      </c>
      <c r="BJ16" s="23">
        <v>193576</v>
      </c>
      <c r="BK16" s="23">
        <v>31627</v>
      </c>
      <c r="BL16" s="23">
        <v>16083</v>
      </c>
      <c r="BM16" s="23">
        <v>23249</v>
      </c>
      <c r="BN16" s="23">
        <v>-7704</v>
      </c>
      <c r="BP16" s="54">
        <f>yield!M21</f>
        <v>0.35947166025784699</v>
      </c>
      <c r="BQ16" s="9"/>
      <c r="BR16" s="11">
        <f t="shared" si="13"/>
        <v>104603</v>
      </c>
      <c r="BS16" s="11">
        <f t="shared" si="14"/>
        <v>14666</v>
      </c>
      <c r="BT16" s="11">
        <f t="shared" si="15"/>
        <v>21902</v>
      </c>
      <c r="BU16" s="11">
        <f t="shared" si="16"/>
        <v>38271</v>
      </c>
      <c r="BV16" s="11">
        <f t="shared" si="17"/>
        <v>9548</v>
      </c>
      <c r="BW16" s="11">
        <f t="shared" si="18"/>
        <v>20216</v>
      </c>
      <c r="BX16" s="11">
        <f t="shared" si="19"/>
        <v>68980</v>
      </c>
      <c r="BY16" s="11">
        <f t="shared" si="20"/>
        <v>-57</v>
      </c>
      <c r="BZ16" s="11">
        <f t="shared" si="21"/>
        <v>50356</v>
      </c>
      <c r="CA16" s="11">
        <f t="shared" si="22"/>
        <v>3137</v>
      </c>
      <c r="CB16" s="11">
        <f t="shared" si="23"/>
        <v>15544</v>
      </c>
      <c r="CC16" s="21">
        <f>((1+BR16/(G16-H16+L16-M16+Q16-R16+AA16-AB16+AF16-AG16))/(1+BP16/100)-1)*100</f>
        <v>15.499411519860073</v>
      </c>
      <c r="CD16" s="21">
        <f t="shared" si="25"/>
        <v>15.912992057284736</v>
      </c>
      <c r="CE16" s="21">
        <f t="shared" si="26"/>
        <v>36.336086550344369</v>
      </c>
      <c r="CF16" s="21">
        <f t="shared" si="27"/>
        <v>15.16631725426878</v>
      </c>
      <c r="CG16" s="21">
        <f>((1+BV16/(AA16-AB16))/(1+BP16/100)-1)*100</f>
        <v>5.8644193223310825</v>
      </c>
      <c r="CH16" s="21">
        <f t="shared" si="29"/>
        <v>18.044006151829418</v>
      </c>
      <c r="CI16" s="21">
        <f>((1+BX16/(AP16-AQ16+AU16-AV16+AZ16-BA16+BJ16-BK16))/(1+BP16/100)-1)*100</f>
        <v>18.720462950583716</v>
      </c>
      <c r="CJ16" s="21">
        <f t="shared" si="31"/>
        <v>-0.67711847377195378</v>
      </c>
      <c r="CK16" s="21">
        <f t="shared" si="32"/>
        <v>59.692120878750664</v>
      </c>
      <c r="CL16" s="21">
        <f t="shared" si="33"/>
        <v>2.8659811997778784</v>
      </c>
      <c r="CM16" s="21">
        <f t="shared" si="34"/>
        <v>9.2055204497725853</v>
      </c>
      <c r="CN16" s="21"/>
      <c r="CO16" s="21">
        <f t="shared" ref="CO16" si="128">CC16-CI16</f>
        <v>-3.2210514307236426</v>
      </c>
      <c r="CP16" s="21">
        <f t="shared" ref="CP16" si="129">CD16-CJ16</f>
        <v>16.590110531056691</v>
      </c>
      <c r="CQ16" s="21">
        <f t="shared" ref="CQ16" si="130">CE16-CK16</f>
        <v>-23.356034328406295</v>
      </c>
      <c r="CR16" s="21">
        <f t="shared" ref="CR16" si="131">CF16-CL16</f>
        <v>12.300336054490902</v>
      </c>
      <c r="CS16" s="21">
        <f t="shared" ref="CS16" si="132">CG16-CM16</f>
        <v>-3.3411011274415028</v>
      </c>
      <c r="CU16" s="23">
        <f>Balance_on_income!B21</f>
        <v>21661.4</v>
      </c>
      <c r="CV16" s="23">
        <f>Balance_on_income!C21</f>
        <v>6658.6</v>
      </c>
      <c r="CW16" s="23">
        <f>Balance_on_income!D21</f>
        <v>5257</v>
      </c>
      <c r="CX16" s="23">
        <f>Balance_on_income!E21</f>
        <v>8512.4</v>
      </c>
      <c r="CY16" s="23">
        <f>Balance_on_income!F21</f>
        <v>1233.4000000000001</v>
      </c>
      <c r="CZ16" s="23">
        <f>Balance_on_income!G21</f>
        <v>5181.5</v>
      </c>
      <c r="DA16" s="23">
        <f>Balance_on_income!H21</f>
        <v>1271.9000000000001</v>
      </c>
      <c r="DB16" s="23">
        <f>Balance_on_income!I21</f>
        <v>2221.3000000000002</v>
      </c>
      <c r="DC16" s="23">
        <f>Balance_on_income!J21</f>
        <v>1030.3</v>
      </c>
      <c r="DD16" s="23">
        <f>Balance_on_income!K21</f>
        <v>658</v>
      </c>
      <c r="DE16" s="21">
        <f t="shared" ref="DE16" si="133">((1+CU16/(G16-H16+L16-M16+Q16-R16+AA16-AB16+AF16-AG16))/(1+BP16/100)-1)*100</f>
        <v>2.9256387596936273</v>
      </c>
      <c r="DF16" s="21">
        <f t="shared" ref="DF16" si="134">((1+CV16/(G16-H16))/(1+BP16/100)-1)*100</f>
        <v>7.0291917108050939</v>
      </c>
      <c r="DG16" s="21">
        <f t="shared" ref="DG16" si="135">((1+CW16/(L16-M16))/(1+BP16/100)-1)*100</f>
        <v>8.4493120636347285</v>
      </c>
      <c r="DH16" s="21">
        <f t="shared" ref="DH16" si="136">((1+CX16/(Q16-R16))/(1+BP16/100)-1)*100</f>
        <v>3.0948420980812852</v>
      </c>
      <c r="DI16" s="21">
        <f t="shared" ref="DI16" si="137">((1+CY16/(AA16-AB16))/(1+BP16/100)-1)*100</f>
        <v>0.44564488455778317</v>
      </c>
      <c r="DJ16" s="21">
        <f t="shared" ref="DJ16" si="138">((1+CZ16/(AP16-AQ16+AU16-AV16+AZ16-BA16+BJ16-BK16))/(1+BP16/100)-1)*100</f>
        <v>1.0749270964765634</v>
      </c>
      <c r="DK16" s="21">
        <f t="shared" ref="DK16" si="139">((1+DA16/(AP16-AQ16))/(1+BP16/100)-1)*100</f>
        <v>6.7585289410330818</v>
      </c>
      <c r="DL16" s="21">
        <f t="shared" ref="DL16" si="140">((1+DB16/(AU16-AV16))/(1+BP16/100)-1)*100</f>
        <v>2.2907503453974076</v>
      </c>
      <c r="DM16" s="21">
        <f t="shared" ref="DM16" si="141">((1+DC16/(AZ16-BA16))/(1+BP16/100)-1)*100</f>
        <v>0.70074402544035852</v>
      </c>
      <c r="DN16" s="21">
        <f t="shared" ref="DN16" si="142">((1+DD16/(BJ16-BK16))/(1+BP16/100)-1)*100</f>
        <v>4.6661354398036536E-2</v>
      </c>
      <c r="DP16" s="21">
        <f t="shared" ref="DP16" si="143">DE16-DJ16</f>
        <v>1.8507116632170639</v>
      </c>
      <c r="DQ16" s="21">
        <f t="shared" ref="DQ16" si="144">DF16-DK16</f>
        <v>0.27066276977201209</v>
      </c>
      <c r="DR16" s="21">
        <f t="shared" ref="DR16" si="145">DG16-DL16</f>
        <v>6.1585617182373209</v>
      </c>
      <c r="DS16" s="21">
        <f t="shared" ref="DS16" si="146">DH16-DM16</f>
        <v>2.3940980726409267</v>
      </c>
      <c r="DT16" s="21">
        <f t="shared" ref="DT16" si="147">DI16-DN16</f>
        <v>0.39898353015974664</v>
      </c>
      <c r="DU16" s="21"/>
      <c r="DV16" s="11">
        <f t="shared" si="55"/>
        <v>-660</v>
      </c>
      <c r="DW16" s="11">
        <f t="shared" si="56"/>
        <v>86</v>
      </c>
      <c r="DX16" s="11">
        <f t="shared" si="57"/>
        <v>9744</v>
      </c>
      <c r="DY16" s="11">
        <f t="shared" si="58"/>
        <v>1859</v>
      </c>
      <c r="DZ16" s="11">
        <f t="shared" si="59"/>
        <v>-7721</v>
      </c>
      <c r="EA16" s="11">
        <f t="shared" si="60"/>
        <v>-4628</v>
      </c>
      <c r="EB16" s="11">
        <f t="shared" si="61"/>
        <v>44183</v>
      </c>
      <c r="EC16" s="11">
        <f t="shared" si="62"/>
        <v>-57</v>
      </c>
      <c r="ED16" s="11">
        <f t="shared" si="63"/>
        <v>50356</v>
      </c>
      <c r="EE16" s="11">
        <f t="shared" si="64"/>
        <v>1589</v>
      </c>
      <c r="EF16" s="11">
        <f t="shared" si="65"/>
        <v>-7705</v>
      </c>
      <c r="EG16" s="21">
        <f t="shared" ref="EG16" si="148">((1+DV16/(G16-H16+L16-M16+Q16-R16+AA16-AB16+AF16-AG16))/(1+BP16/100)-1)*100</f>
        <v>-0.45823870696700686</v>
      </c>
      <c r="EH16" s="21">
        <f t="shared" ref="EH16" si="149">((1+DW16/(G16-H16))/(1+BP16/100)-1)*100</f>
        <v>-0.26277149289051227</v>
      </c>
      <c r="EI16" s="21">
        <f t="shared" ref="EI16" si="150">((1+DX16/(L16-M16))/(1+BP16/100)-1)*100</f>
        <v>15.966762176092896</v>
      </c>
      <c r="EJ16" s="21">
        <f t="shared" ref="EJ16" si="151">((1+DY16/(Q16-R16))/(1+BP16/100)-1)*100</f>
        <v>0.39591295476881783</v>
      </c>
      <c r="EK16" s="21">
        <f t="shared" ref="EK16" si="152">((1+DZ16/(AA16-AB16))/(1+BP16/100)-1)*100</f>
        <v>-5.3900987261507272</v>
      </c>
      <c r="EL16" s="21">
        <f t="shared" ref="EL16" si="153">((1+EA16/(AF16-AG16))/(1+BP16/100)-1)*100</f>
        <v>-4.5709530076030962</v>
      </c>
      <c r="EM16" s="21">
        <f t="shared" ref="EM16" si="154">((1+EB16/(AP16-AQ16+AU16-AV16+AZ16-BA16+BJ16-BK16))/(1+BP16/100)-1)*100</f>
        <v>11.862051662319972</v>
      </c>
      <c r="EN16" s="21">
        <f t="shared" ref="EN16" si="155">((1+EC16/(AP16-AQ16))/(1+BP16/100)-1)*100</f>
        <v>-0.67711847377195378</v>
      </c>
      <c r="EO16" s="21">
        <f t="shared" ref="EO16" si="156">((1+ED16/(AU16-AV16))/(1+BP16/100)-1)*100</f>
        <v>59.692120878750664</v>
      </c>
      <c r="EP16" s="21">
        <f t="shared" ref="EP16" si="157">((1+EE16/(AZ16-BA16))/(1+BP16/100)-1)*100</f>
        <v>1.2749681718790207</v>
      </c>
      <c r="EQ16" s="21">
        <f t="shared" ref="EQ16" si="158">((1+EF16/(BJ16-BK16))/(1+BP16/100)-1)*100</f>
        <v>-5.0988134954351949</v>
      </c>
      <c r="ES16" s="21">
        <f t="shared" ref="ES16" si="159">EG16-EM16</f>
        <v>-12.32029036928698</v>
      </c>
      <c r="ET16" s="21">
        <f t="shared" ref="ET16" si="160">EH16-EN16</f>
        <v>0.41434698088144151</v>
      </c>
      <c r="EU16" s="21">
        <f t="shared" ref="EU16" si="161">EI16-EO16</f>
        <v>-43.725358702657772</v>
      </c>
      <c r="EV16" s="21">
        <f t="shared" ref="EV16" si="162">EJ16-EP16</f>
        <v>-0.87905521711020285</v>
      </c>
      <c r="EW16" s="21">
        <f t="shared" ref="EW16" si="163">EK16-EQ16</f>
        <v>-0.29128523071553225</v>
      </c>
      <c r="EX16" s="21"/>
      <c r="EY16" s="23">
        <f t="shared" ref="EY16" si="164">EZ16+FA16+FB16+FC16+FD16</f>
        <v>126264.4</v>
      </c>
      <c r="EZ16" s="23">
        <f t="shared" ref="EZ16" si="165">BS16+CV16</f>
        <v>21324.6</v>
      </c>
      <c r="FA16" s="23">
        <f t="shared" ref="FA16" si="166">BT16+CW16</f>
        <v>27159</v>
      </c>
      <c r="FB16" s="23">
        <f t="shared" ref="FB16" si="167">BU16+CX16</f>
        <v>46783.4</v>
      </c>
      <c r="FC16" s="23">
        <f t="shared" ref="FC16" si="168">BV16+CY16</f>
        <v>10781.4</v>
      </c>
      <c r="FD16" s="23">
        <f t="shared" ref="FD16" si="169">BW16</f>
        <v>20216</v>
      </c>
      <c r="FE16" s="23">
        <f t="shared" ref="FE16" si="170">FF16+FG16+FH16+FI16</f>
        <v>74161.5</v>
      </c>
      <c r="FF16" s="23">
        <f t="shared" ref="FF16" si="171">BY16+DA16</f>
        <v>1214.9000000000001</v>
      </c>
      <c r="FG16" s="23">
        <f t="shared" ref="FG16" si="172">BZ16+DB16</f>
        <v>52577.3</v>
      </c>
      <c r="FH16" s="23">
        <f t="shared" ref="FH16" si="173">CA16+DC16</f>
        <v>4167.3</v>
      </c>
      <c r="FI16" s="23">
        <f t="shared" ref="FI16" si="174">CB16+DD16</f>
        <v>16202</v>
      </c>
      <c r="FJ16" s="21">
        <f t="shared" ref="FJ16" si="175">((1+EY16/(G16-H16+L16-M16+Q16-R16+AA16-AB16+AF16-AG16))/(1+BP16/100)-1)*100</f>
        <v>18.783234369516588</v>
      </c>
      <c r="FK16" s="21">
        <f t="shared" ref="FK16" si="176">((1+EZ16/(G16-H16))/(1+BP16/100)-1)*100</f>
        <v>23.300367858052716</v>
      </c>
      <c r="FL16" s="21">
        <f t="shared" ref="FL16" si="177">((1+FA16/(L16-M16))/(1+BP16/100)-1)*100</f>
        <v>45.143582703941988</v>
      </c>
      <c r="FM16" s="21">
        <f t="shared" ref="FM16" si="178">((1+FB16/(Q16-R16))/(1+BP16/100)-1)*100</f>
        <v>18.619343442312932</v>
      </c>
      <c r="FN16" s="21">
        <f t="shared" ref="FN16" si="179">((1+FC16/(AA16-AB16))/(1+BP16/100)-1)*100</f>
        <v>6.6682482968517531</v>
      </c>
      <c r="FO16" s="21">
        <f t="shared" ref="FO16" si="180">((1+FD16/(AF16-AG16))/(1+BP16/100)-1)*100</f>
        <v>18.044006151829418</v>
      </c>
      <c r="FP16" s="21">
        <f t="shared" ref="FP16" si="181">((1+FE16/(AP16-AQ16+AU16-AV16+AZ16-BA16+BJ16-BK16))/(1+BP16/100)-1)*100</f>
        <v>20.153574137023146</v>
      </c>
      <c r="FQ16" s="21">
        <f t="shared" ref="FQ16" si="182">((1+FF16/(AP16-AQ16))/(1+BP16/100)-1)*100</f>
        <v>6.4395945572240265</v>
      </c>
      <c r="FR16" s="21">
        <f t="shared" ref="FR16" si="183">((1+FG16/(AU16-AV16))/(1+BP16/100)-1)*100</f>
        <v>62.34105531411096</v>
      </c>
      <c r="FS16" s="21">
        <f t="shared" ref="FS16" si="184">((1+FH16/(AZ16-BA16))/(1+BP16/100)-1)*100</f>
        <v>3.9249093151810799</v>
      </c>
      <c r="FT16" s="21">
        <f t="shared" ref="FT16" si="185">((1+FI16/(BJ16-BK16))/(1+BP16/100)-1)*100</f>
        <v>9.6103658941334871</v>
      </c>
      <c r="FV16" s="21">
        <f t="shared" ref="FV16" si="186">FJ16-FP16</f>
        <v>-1.3703397675065574</v>
      </c>
      <c r="FW16" s="21">
        <f t="shared" ref="FW16" si="187">FK16-FQ16</f>
        <v>16.86077330082869</v>
      </c>
      <c r="FX16" s="21">
        <f t="shared" ref="FX16" si="188">FL16-FR16</f>
        <v>-17.197472610168973</v>
      </c>
      <c r="FY16" s="21">
        <f t="shared" ref="FY16" si="189">FM16-FS16</f>
        <v>14.694434127131853</v>
      </c>
      <c r="FZ16" s="21">
        <f t="shared" ref="FZ16" si="190">FN16-FT16</f>
        <v>-2.9421175972817339</v>
      </c>
      <c r="GB16" s="23">
        <f t="shared" ref="GB16" si="191">GC16+GD16+GE16+GF16+GG16</f>
        <v>21001.4</v>
      </c>
      <c r="GC16" s="23">
        <f t="shared" ref="GC16" si="192">CV16+DW16</f>
        <v>6744.6</v>
      </c>
      <c r="GD16" s="23">
        <f t="shared" ref="GD16" si="193">CW16+DX16</f>
        <v>15001</v>
      </c>
      <c r="GE16" s="23">
        <f t="shared" ref="GE16" si="194">CX16+DY16</f>
        <v>10371.4</v>
      </c>
      <c r="GF16" s="23">
        <f t="shared" ref="GF16" si="195">CY16+DZ16</f>
        <v>-6487.6</v>
      </c>
      <c r="GG16" s="23">
        <f t="shared" ref="GG16" si="196">EA16</f>
        <v>-4628</v>
      </c>
      <c r="GH16" s="23">
        <f t="shared" ref="GH16" si="197">GI16+GJ16+GK16+GL16</f>
        <v>49364.500000000007</v>
      </c>
      <c r="GI16" s="23">
        <f t="shared" ref="GI16" si="198">DA16+EC16</f>
        <v>1214.9000000000001</v>
      </c>
      <c r="GJ16" s="23">
        <f t="shared" ref="GJ16" si="199">DB16+ED16</f>
        <v>52577.3</v>
      </c>
      <c r="GK16" s="23">
        <f t="shared" ref="GK16" si="200">DC16+EE16</f>
        <v>2619.3000000000002</v>
      </c>
      <c r="GL16" s="23">
        <f t="shared" ref="GL16" si="201">DD16+EF16</f>
        <v>-7047</v>
      </c>
      <c r="GM16" s="21">
        <f t="shared" ref="GM16" si="202">((GB16/(G16-H16+L16-M16+Q16-R16+AA16-AB16+AF16-AG16)+1)/(1+BP16/100)-1)*100</f>
        <v>2.8255841426894746</v>
      </c>
      <c r="GN16" s="21">
        <f t="shared" ref="GN16" si="203">((GC16/(G16-H16)+1)/(1+BP16/100)-1)*100</f>
        <v>7.124604307877469</v>
      </c>
      <c r="GO16" s="21">
        <f t="shared" ref="GO16" si="204">((GD16/(L16-M16)+1)/(1+BP16/100)-1)*100</f>
        <v>24.774258329690536</v>
      </c>
      <c r="GP16" s="21">
        <f t="shared" ref="GP16" si="205">((GE16/(Q16-R16)+1)/(1+BP16/100)-1)*100</f>
        <v>3.848939142812946</v>
      </c>
      <c r="GQ16" s="21">
        <f t="shared" ref="GQ16" si="206">((GF16/(AA16-AB16)+1)/(1+BP16/100)-1)*100</f>
        <v>-4.5862697516300681</v>
      </c>
      <c r="GR16" s="21">
        <f t="shared" ref="GR16" si="207">((GG16/(AF16-AG16)+1)/(1+BP16/100)-1)*100</f>
        <v>-4.5709530076030962</v>
      </c>
      <c r="GS16" s="21">
        <f t="shared" ref="GS16" si="208">((GH16/(AP16-AQ16+AU16-AV16+AZ16-BA16+BJ16-BK16)+1)/(1+BP16/100)-1)*100</f>
        <v>13.2951628487594</v>
      </c>
      <c r="GT16" s="21">
        <f t="shared" ref="GT16" si="209">((GI16/(AP16-AQ16)+1)/(1+BP16/100)-1)*100</f>
        <v>6.4395945572240265</v>
      </c>
      <c r="GU16" s="21">
        <f t="shared" ref="GU16" si="210">((GJ16/(AU16-AV16)+1)/(1+BP16/100)-1)*100</f>
        <v>62.34105531411096</v>
      </c>
      <c r="GV16" s="21">
        <f t="shared" ref="GV16" si="211">((GK16/(AZ16-BA16)+1)/(1+BP16/100)-1)*100</f>
        <v>2.3338962872822444</v>
      </c>
      <c r="GW16" s="21">
        <f t="shared" ref="GW16" si="212">((GL16/(BJ16-BK16)+1)/(1+BP16/100)-1)*100</f>
        <v>-4.6939680510742825</v>
      </c>
      <c r="GY16" s="21">
        <f t="shared" ref="GY16" si="213">GM16-GS16</f>
        <v>-10.469578706069925</v>
      </c>
      <c r="GZ16" s="21">
        <f t="shared" ref="GZ16" si="214">GN16-GT16</f>
        <v>0.6850097506534425</v>
      </c>
      <c r="HA16" s="21">
        <f t="shared" ref="HA16" si="215">GO16-GU16</f>
        <v>-37.566796984420421</v>
      </c>
      <c r="HB16" s="21">
        <f t="shared" ref="HB16" si="216">GP16-GV16</f>
        <v>1.5150428555307016</v>
      </c>
      <c r="HC16" s="21">
        <f t="shared" ref="HC16" si="217">GQ16-GW16</f>
        <v>0.10769829944421438</v>
      </c>
      <c r="HF16" s="44">
        <f t="shared" ref="HF16" si="218">CX16/((Q16-R16)+(AF16-AG16))</f>
        <v>2.3971838918614475E-2</v>
      </c>
      <c r="HG16" s="44">
        <f t="shared" ref="HG16" si="219">DC16/(AZ16-BA16)</f>
        <v>1.0627346618805957E-2</v>
      </c>
      <c r="HH16" s="8"/>
      <c r="HI16" s="44">
        <f t="shared" ref="HI16" si="220">((1+HF16)/(1+BP16/100)-1)*100</f>
        <v>2.0304134705907639</v>
      </c>
      <c r="HJ16" s="44">
        <f t="shared" ref="HJ16" si="221">((1+HG16)/(1+BP16/100)-1)*100</f>
        <v>0.70074402544035852</v>
      </c>
      <c r="HK16" s="8"/>
      <c r="HL16" s="44">
        <f t="shared" si="127"/>
        <v>1.3296694451504054</v>
      </c>
      <c r="HN16" s="9">
        <v>0</v>
      </c>
      <c r="HP16" s="57"/>
    </row>
    <row r="17" spans="1:220" s="11" customFormat="1" ht="15">
      <c r="CC17" s="21"/>
      <c r="CD17" s="21"/>
      <c r="CE17" s="21"/>
      <c r="CF17" s="21"/>
      <c r="CG17" s="21"/>
      <c r="CH17" s="21"/>
      <c r="CI17" s="21"/>
      <c r="CJ17" s="21"/>
      <c r="CK17" s="21"/>
      <c r="CL17" s="21"/>
      <c r="CM17" s="21"/>
      <c r="CN17" s="21"/>
      <c r="CO17" s="21"/>
      <c r="CP17" s="21"/>
      <c r="CQ17" s="21"/>
      <c r="CR17" s="21"/>
      <c r="CS17" s="21"/>
      <c r="CU17" s="23"/>
      <c r="CV17" s="23"/>
      <c r="CW17" s="23"/>
      <c r="CX17" s="23"/>
      <c r="CY17" s="23"/>
      <c r="CZ17" s="23"/>
      <c r="DA17" s="23"/>
      <c r="DB17" s="23"/>
      <c r="DC17" s="23"/>
      <c r="DD17" s="23"/>
      <c r="DP17" s="21"/>
      <c r="DQ17" s="21"/>
      <c r="DR17" s="21"/>
      <c r="DS17" s="21"/>
      <c r="DT17" s="21"/>
      <c r="DU17" s="21"/>
      <c r="EG17" s="21"/>
      <c r="EH17" s="21"/>
      <c r="EI17" s="21"/>
      <c r="EJ17" s="21"/>
      <c r="EK17" s="21"/>
      <c r="EL17" s="21"/>
      <c r="EM17" s="21"/>
      <c r="EN17" s="21"/>
      <c r="EO17" s="21"/>
      <c r="EP17" s="21"/>
      <c r="EQ17" s="21"/>
      <c r="ES17" s="21"/>
      <c r="ET17" s="21"/>
      <c r="EU17" s="21"/>
      <c r="EV17" s="21"/>
      <c r="EW17" s="21"/>
      <c r="EX17" s="21"/>
      <c r="FV17" s="21"/>
      <c r="FW17" s="21"/>
      <c r="FX17" s="21"/>
      <c r="FY17" s="21"/>
      <c r="FZ17" s="21"/>
      <c r="GY17" s="21"/>
      <c r="GZ17" s="21"/>
      <c r="HA17" s="21"/>
      <c r="HB17" s="21"/>
      <c r="HC17" s="21"/>
      <c r="HF17" s="8"/>
      <c r="HG17" s="8"/>
      <c r="HH17" s="8"/>
      <c r="HI17" s="8"/>
      <c r="HJ17" s="8"/>
      <c r="HK17" s="8"/>
      <c r="HL17" s="8"/>
    </row>
    <row r="18" spans="1:220" s="11" customFormat="1" ht="15">
      <c r="A18" s="11" t="s">
        <v>625</v>
      </c>
      <c r="CC18" s="21">
        <f t="shared" ref="CC18:CL18" si="222">AVERAGE(CC4:CC16)</f>
        <v>0.99593308306423523</v>
      </c>
      <c r="CD18" s="21">
        <f t="shared" si="222"/>
        <v>-1.4691253679545695</v>
      </c>
      <c r="CE18" s="21">
        <f t="shared" si="222"/>
        <v>5.8000998014566498</v>
      </c>
      <c r="CF18" s="21">
        <f t="shared" si="222"/>
        <v>0.56151151803841048</v>
      </c>
      <c r="CG18" s="21">
        <f t="shared" si="222"/>
        <v>1.5882633024456803</v>
      </c>
      <c r="CH18" s="21">
        <f t="shared" si="222"/>
        <v>1.0319630942602924</v>
      </c>
      <c r="CI18" s="21">
        <f t="shared" si="222"/>
        <v>1.6014103474251891</v>
      </c>
      <c r="CJ18" s="21">
        <f t="shared" si="222"/>
        <v>3.1840594127944399</v>
      </c>
      <c r="CK18" s="21">
        <f t="shared" si="222"/>
        <v>5.7831067284585815</v>
      </c>
      <c r="CL18" s="21">
        <f t="shared" si="222"/>
        <v>-1.3205423940831058</v>
      </c>
      <c r="CM18" s="21">
        <f>AVERAGE(CM4:CM16)</f>
        <v>2.1036451986480826</v>
      </c>
      <c r="CN18" s="21"/>
      <c r="CO18" s="21">
        <f>AVERAGE(CO4:CO16)</f>
        <v>-0.60547726436095439</v>
      </c>
      <c r="CP18" s="21">
        <f t="shared" ref="CP18:CS18" si="223">AVERAGE(CP4:CP16)</f>
        <v>-4.6531847807490099</v>
      </c>
      <c r="CQ18" s="21">
        <f t="shared" si="223"/>
        <v>1.6993072998066995E-2</v>
      </c>
      <c r="CR18" s="21">
        <f t="shared" si="223"/>
        <v>1.8820539121215167</v>
      </c>
      <c r="CS18" s="21">
        <f t="shared" si="223"/>
        <v>-0.51538189620240216</v>
      </c>
      <c r="CU18" s="23"/>
      <c r="CV18" s="23"/>
      <c r="CW18" s="23"/>
      <c r="CX18" s="23"/>
      <c r="CY18" s="23"/>
      <c r="CZ18" s="23"/>
      <c r="DA18" s="23"/>
      <c r="DB18" s="23"/>
      <c r="DC18" s="23"/>
      <c r="DE18" s="21">
        <f>AVERAGE(DE4:DE16)</f>
        <v>3.6107756612416901</v>
      </c>
      <c r="DF18" s="21">
        <f t="shared" ref="DF18:DN18" si="224">AVERAGE(DF4:DF16)</f>
        <v>7.202637112912452</v>
      </c>
      <c r="DG18" s="21">
        <f t="shared" si="224"/>
        <v>6.0435212717545754</v>
      </c>
      <c r="DH18" s="21">
        <f t="shared" si="224"/>
        <v>4.8184487126654414</v>
      </c>
      <c r="DI18" s="21">
        <f t="shared" si="224"/>
        <v>1.7181655138205714</v>
      </c>
      <c r="DJ18" s="21">
        <f t="shared" si="224"/>
        <v>1.7827850319211473</v>
      </c>
      <c r="DK18" s="21">
        <f t="shared" si="224"/>
        <v>7.8485124076376325</v>
      </c>
      <c r="DL18" s="21">
        <f t="shared" si="224"/>
        <v>1.7569665392787088</v>
      </c>
      <c r="DM18" s="21">
        <f t="shared" si="224"/>
        <v>1.9369452858880389</v>
      </c>
      <c r="DN18" s="21">
        <f t="shared" si="224"/>
        <v>1.2525523228158459</v>
      </c>
      <c r="DP18" s="21">
        <f>AVERAGE(DP4:DP16)</f>
        <v>1.8279906293205423</v>
      </c>
      <c r="DQ18" s="21">
        <f t="shared" ref="DQ18:DT18" si="225">AVERAGE(DQ4:DQ16)</f>
        <v>-0.64587529472517846</v>
      </c>
      <c r="DR18" s="21">
        <f t="shared" si="225"/>
        <v>4.2865547324758682</v>
      </c>
      <c r="DS18" s="21">
        <f t="shared" si="225"/>
        <v>2.8815034267774013</v>
      </c>
      <c r="DT18" s="21">
        <f t="shared" si="225"/>
        <v>0.46561319100472548</v>
      </c>
      <c r="DU18" s="21"/>
      <c r="EG18" s="21">
        <f>AVERAGE(EG4:EG16)</f>
        <v>0.58416314619663412</v>
      </c>
      <c r="EH18" s="21">
        <f t="shared" ref="EH18:EQ18" si="226">AVERAGE(EH4:EH16)</f>
        <v>-2.255810781622849</v>
      </c>
      <c r="EI18" s="21">
        <f t="shared" si="226"/>
        <v>4.2507651855984783</v>
      </c>
      <c r="EJ18" s="21">
        <f t="shared" si="226"/>
        <v>-0.14009441802651509</v>
      </c>
      <c r="EK18" s="21">
        <f t="shared" si="226"/>
        <v>1.7095358788603225</v>
      </c>
      <c r="EL18" s="21">
        <f t="shared" si="226"/>
        <v>1.1353459055669055</v>
      </c>
      <c r="EM18" s="21">
        <f t="shared" si="226"/>
        <v>1.4793719769208293</v>
      </c>
      <c r="EN18" s="21">
        <f t="shared" si="226"/>
        <v>3.1840594127944399</v>
      </c>
      <c r="EO18" s="21">
        <f t="shared" si="226"/>
        <v>5.7831067284585815</v>
      </c>
      <c r="EP18" s="21">
        <f t="shared" si="226"/>
        <v>-1.4933533567619841</v>
      </c>
      <c r="EQ18" s="21">
        <f t="shared" si="226"/>
        <v>2.0423850026845902</v>
      </c>
      <c r="ES18" s="21">
        <f>AVERAGE(ES4:ES16)</f>
        <v>-0.89520883072419499</v>
      </c>
      <c r="ET18" s="21">
        <f t="shared" ref="ET18:EW18" si="227">AVERAGE(ET4:ET16)</f>
        <v>-5.4398701944172903</v>
      </c>
      <c r="EU18" s="21">
        <f t="shared" si="227"/>
        <v>-1.5323415428601039</v>
      </c>
      <c r="EV18" s="21">
        <f t="shared" si="227"/>
        <v>1.3532589387354685</v>
      </c>
      <c r="EW18" s="21">
        <f t="shared" si="227"/>
        <v>-0.33284912382426796</v>
      </c>
      <c r="EX18" s="21"/>
      <c r="FC18" s="21"/>
      <c r="FD18" s="21"/>
      <c r="FI18" s="21"/>
      <c r="FJ18" s="21">
        <f>AVERAGE(FJ4:FJ16)</f>
        <v>4.4032526111906565</v>
      </c>
      <c r="FK18" s="21">
        <f t="shared" ref="FK18:FT18" si="228">AVERAGE(FK4:FK16)</f>
        <v>5.5300556118426067</v>
      </c>
      <c r="FL18" s="21">
        <f t="shared" si="228"/>
        <v>11.640164940095959</v>
      </c>
      <c r="FM18" s="21">
        <f t="shared" si="228"/>
        <v>5.1765040975885812</v>
      </c>
      <c r="FN18" s="21">
        <f t="shared" si="228"/>
        <v>3.1029726831509805</v>
      </c>
      <c r="FO18" s="21">
        <f t="shared" si="228"/>
        <v>1.0319630942602924</v>
      </c>
      <c r="FP18" s="21">
        <f t="shared" si="228"/>
        <v>3.1807392462310626</v>
      </c>
      <c r="FQ18" s="21">
        <f t="shared" si="228"/>
        <v>10.829115687316792</v>
      </c>
      <c r="FR18" s="21">
        <f t="shared" si="228"/>
        <v>7.336617134622025</v>
      </c>
      <c r="FS18" s="21">
        <f t="shared" si="228"/>
        <v>0.41294675868965586</v>
      </c>
      <c r="FT18" s="21">
        <f t="shared" si="228"/>
        <v>3.1527413883486513</v>
      </c>
      <c r="FV18" s="21">
        <f>AVERAGE(FV4:FV16)</f>
        <v>1.2225133649595941</v>
      </c>
      <c r="FW18" s="21">
        <f t="shared" ref="FW18:FZ18" si="229">AVERAGE(FW4:FW16)</f>
        <v>-5.2990600754741877</v>
      </c>
      <c r="FX18" s="21">
        <f t="shared" si="229"/>
        <v>4.3035478054739347</v>
      </c>
      <c r="FY18" s="21">
        <f t="shared" si="229"/>
        <v>4.7635573388989254</v>
      </c>
      <c r="FZ18" s="21">
        <f t="shared" si="229"/>
        <v>-4.9768705197670772E-2</v>
      </c>
      <c r="GM18" s="21">
        <f>AVERAGE(GM4:GM16)</f>
        <v>3.991482674323048</v>
      </c>
      <c r="GN18" s="21">
        <f t="shared" ref="GN18:GW18" si="230">AVERAGE(GN4:GN16)</f>
        <v>4.743370198174329</v>
      </c>
      <c r="GO18" s="21">
        <f t="shared" si="230"/>
        <v>10.090830324237789</v>
      </c>
      <c r="GP18" s="21">
        <f t="shared" si="230"/>
        <v>4.474898161523658</v>
      </c>
      <c r="GQ18" s="21">
        <f t="shared" si="230"/>
        <v>3.2242452595656204</v>
      </c>
      <c r="GR18" s="21">
        <f t="shared" si="230"/>
        <v>1.1353459055669055</v>
      </c>
      <c r="GS18" s="21">
        <f t="shared" si="230"/>
        <v>3.0587008757267009</v>
      </c>
      <c r="GT18" s="21">
        <f t="shared" si="230"/>
        <v>10.829115687316792</v>
      </c>
      <c r="GU18" s="21">
        <f t="shared" si="230"/>
        <v>7.336617134622025</v>
      </c>
      <c r="GV18" s="21">
        <f t="shared" si="230"/>
        <v>0.24013579601077895</v>
      </c>
      <c r="GW18" s="21">
        <f t="shared" si="230"/>
        <v>3.0914811923851655</v>
      </c>
      <c r="GY18" s="21">
        <f>AVERAGE(GY4:GY16)</f>
        <v>0.9327817985963468</v>
      </c>
      <c r="GZ18" s="21">
        <f t="shared" ref="GZ18:HC18" si="231">AVERAGE(GZ4:GZ16)</f>
        <v>-6.0857454891424627</v>
      </c>
      <c r="HA18" s="21">
        <f t="shared" si="231"/>
        <v>2.7542131896157662</v>
      </c>
      <c r="HB18" s="21">
        <f t="shared" si="231"/>
        <v>4.2347623655128794</v>
      </c>
      <c r="HC18" s="21">
        <f t="shared" si="231"/>
        <v>0.13276406718045403</v>
      </c>
      <c r="HF18" s="8"/>
      <c r="HG18" s="8"/>
      <c r="HH18" s="8"/>
      <c r="HI18" s="8"/>
      <c r="HJ18" s="8"/>
      <c r="HK18" s="8"/>
      <c r="HL18" s="44">
        <f>AVERAGE(HL4:HL16)</f>
        <v>1.4473127847010636</v>
      </c>
    </row>
    <row r="19" spans="1:220" s="11" customFormat="1" ht="15">
      <c r="CC19" s="21"/>
      <c r="CD19" s="21"/>
      <c r="CE19" s="21"/>
      <c r="CF19" s="21"/>
      <c r="CG19" s="21"/>
      <c r="CH19" s="21"/>
      <c r="CI19" s="21"/>
      <c r="CJ19" s="21"/>
      <c r="CK19" s="21"/>
      <c r="CL19" s="21"/>
      <c r="CM19" s="21"/>
      <c r="CN19" s="21"/>
      <c r="CO19" s="21"/>
      <c r="CP19" s="21"/>
      <c r="CQ19" s="21"/>
      <c r="CR19" s="21"/>
      <c r="CS19" s="21"/>
      <c r="CU19" s="23"/>
      <c r="CV19" s="23"/>
      <c r="CW19" s="23"/>
      <c r="CX19" s="23"/>
      <c r="CY19" s="23"/>
      <c r="CZ19" s="23"/>
      <c r="DA19" s="23"/>
      <c r="DB19" s="23"/>
      <c r="DC19" s="23"/>
      <c r="DE19" s="21"/>
      <c r="DF19" s="21"/>
      <c r="DG19" s="21"/>
      <c r="DH19" s="21"/>
      <c r="DI19" s="21"/>
      <c r="DJ19" s="21"/>
      <c r="DK19" s="21"/>
      <c r="DL19" s="21"/>
      <c r="DM19" s="21"/>
      <c r="DN19" s="21"/>
      <c r="DP19" s="21"/>
      <c r="DQ19" s="21"/>
      <c r="DR19" s="21"/>
      <c r="DS19" s="21"/>
      <c r="DT19" s="21"/>
      <c r="DU19" s="21"/>
      <c r="EG19" s="21"/>
      <c r="EH19" s="21"/>
      <c r="EI19" s="21"/>
      <c r="EJ19" s="21"/>
      <c r="EK19" s="21"/>
      <c r="EL19" s="21"/>
      <c r="EM19" s="21"/>
      <c r="EN19" s="21"/>
      <c r="EO19" s="21"/>
      <c r="EP19" s="21"/>
      <c r="EQ19" s="21"/>
      <c r="ES19" s="21"/>
      <c r="ET19" s="21"/>
      <c r="EU19" s="21"/>
      <c r="EV19" s="21"/>
      <c r="EW19" s="21"/>
      <c r="EX19" s="21"/>
      <c r="FC19" s="21"/>
      <c r="FD19" s="21"/>
      <c r="FI19" s="21"/>
      <c r="FJ19" s="21"/>
      <c r="FK19" s="21"/>
      <c r="FL19" s="21"/>
      <c r="FM19" s="21"/>
      <c r="FN19" s="21"/>
      <c r="FO19" s="21"/>
      <c r="FP19" s="21"/>
      <c r="FQ19" s="21"/>
      <c r="FR19" s="21"/>
      <c r="FS19" s="21"/>
      <c r="FT19" s="21"/>
      <c r="FV19" s="21"/>
      <c r="FW19" s="21"/>
      <c r="FX19" s="21"/>
      <c r="FY19" s="21"/>
      <c r="FZ19" s="21"/>
      <c r="GM19" s="21"/>
      <c r="GN19" s="21"/>
      <c r="GO19" s="21"/>
      <c r="GP19" s="21"/>
      <c r="GQ19" s="21"/>
      <c r="GR19" s="21"/>
      <c r="GS19" s="21"/>
      <c r="GT19" s="21"/>
      <c r="GU19" s="21"/>
      <c r="GV19" s="21"/>
      <c r="GW19" s="21"/>
      <c r="GY19" s="21"/>
      <c r="GZ19" s="21"/>
      <c r="HA19" s="21"/>
      <c r="HB19" s="21"/>
      <c r="HC19" s="21"/>
      <c r="HF19" s="8"/>
      <c r="HG19" s="8"/>
      <c r="HH19" s="8"/>
      <c r="HI19" s="8"/>
      <c r="HJ19" s="8"/>
      <c r="HK19" s="8"/>
      <c r="HL19" s="44"/>
    </row>
    <row r="20" spans="1:220" s="11" customFormat="1" ht="15">
      <c r="A20" s="11" t="s">
        <v>256</v>
      </c>
      <c r="CC20" s="21"/>
      <c r="CD20" s="21"/>
      <c r="CE20" s="21"/>
      <c r="CF20" s="21"/>
      <c r="CG20" s="21"/>
      <c r="CH20" s="21"/>
      <c r="CI20" s="21"/>
      <c r="CJ20" s="21"/>
      <c r="CK20" s="21"/>
      <c r="CL20" s="21"/>
      <c r="CM20" s="21"/>
      <c r="CN20" s="21"/>
      <c r="CO20" s="21"/>
      <c r="CP20" s="21"/>
      <c r="CQ20" s="21"/>
      <c r="CR20" s="21"/>
      <c r="CS20" s="21"/>
      <c r="CU20" s="23"/>
      <c r="CV20" s="23"/>
      <c r="CW20" s="23"/>
      <c r="CX20" s="23"/>
      <c r="CY20" s="23"/>
      <c r="CZ20" s="23"/>
      <c r="DA20" s="23"/>
      <c r="DB20" s="23"/>
      <c r="DC20" s="23"/>
      <c r="DE20" s="21"/>
      <c r="DF20" s="21"/>
      <c r="DG20" s="21"/>
      <c r="DH20" s="21"/>
      <c r="DI20" s="21"/>
      <c r="DJ20" s="21"/>
      <c r="DK20" s="21"/>
      <c r="DL20" s="21"/>
      <c r="DM20" s="21"/>
      <c r="DN20" s="21"/>
      <c r="DP20" s="21"/>
      <c r="DQ20" s="21"/>
      <c r="DR20" s="21"/>
      <c r="DS20" s="21"/>
      <c r="DT20" s="21"/>
      <c r="DU20" s="21"/>
      <c r="EG20" s="21"/>
      <c r="EH20" s="21"/>
      <c r="EI20" s="21"/>
      <c r="EJ20" s="21"/>
      <c r="EK20" s="21"/>
      <c r="EL20" s="21"/>
      <c r="EM20" s="21"/>
      <c r="EN20" s="21"/>
      <c r="EO20" s="21"/>
      <c r="EP20" s="21"/>
      <c r="EQ20" s="21"/>
      <c r="ES20" s="21"/>
      <c r="ET20" s="21"/>
      <c r="EU20" s="21"/>
      <c r="EV20" s="21"/>
      <c r="EW20" s="21"/>
      <c r="EX20" s="21"/>
      <c r="FC20" s="21"/>
      <c r="FD20" s="21"/>
      <c r="FI20" s="21"/>
      <c r="FJ20" s="21"/>
      <c r="FK20" s="21"/>
      <c r="FL20" s="21"/>
      <c r="FM20" s="21"/>
      <c r="FN20" s="21"/>
      <c r="FO20" s="21"/>
      <c r="FP20" s="21"/>
      <c r="FQ20" s="21"/>
      <c r="FR20" s="21"/>
      <c r="FS20" s="21"/>
      <c r="FT20" s="21"/>
      <c r="FV20" s="21"/>
      <c r="FW20" s="21"/>
      <c r="FX20" s="21"/>
      <c r="FY20" s="21"/>
      <c r="FZ20" s="21"/>
      <c r="GM20" s="21"/>
      <c r="GN20" s="21"/>
      <c r="GO20" s="21"/>
      <c r="GP20" s="21"/>
      <c r="GQ20" s="21"/>
      <c r="GR20" s="21"/>
      <c r="GS20" s="21"/>
      <c r="GT20" s="21"/>
      <c r="GU20" s="21"/>
      <c r="GV20" s="21"/>
      <c r="GW20" s="21"/>
      <c r="GY20" s="21"/>
      <c r="GZ20" s="21"/>
      <c r="HA20" s="21"/>
      <c r="HB20" s="21"/>
      <c r="HC20" s="21"/>
      <c r="HF20" s="8"/>
      <c r="HG20" s="8"/>
      <c r="HH20" s="8"/>
      <c r="HI20" s="8"/>
      <c r="HJ20" s="8"/>
      <c r="HK20" s="8"/>
      <c r="HL20" s="44"/>
    </row>
    <row r="21" spans="1:220" s="11" customFormat="1" ht="15">
      <c r="A21" s="11" t="s">
        <v>227</v>
      </c>
      <c r="CC21" s="21"/>
      <c r="CD21" s="21"/>
      <c r="CE21" s="21"/>
      <c r="CF21" s="21"/>
      <c r="CG21" s="21"/>
      <c r="CH21" s="21"/>
      <c r="CI21" s="21"/>
      <c r="CJ21" s="21"/>
      <c r="CK21" s="21"/>
      <c r="CL21" s="21"/>
      <c r="CM21" s="21"/>
      <c r="CN21" s="21"/>
      <c r="CO21" s="21"/>
      <c r="CP21" s="21"/>
      <c r="CQ21" s="21"/>
      <c r="CR21" s="21"/>
      <c r="CS21" s="21"/>
      <c r="CU21" s="23"/>
      <c r="CV21" s="23"/>
      <c r="CW21" s="23"/>
      <c r="CX21" s="23"/>
      <c r="CY21" s="23"/>
      <c r="CZ21" s="23"/>
      <c r="DA21" s="23"/>
      <c r="DB21" s="23"/>
      <c r="DC21" s="23"/>
      <c r="DE21" s="21"/>
      <c r="DF21" s="21"/>
      <c r="DG21" s="21"/>
      <c r="DH21" s="21"/>
      <c r="DI21" s="21"/>
      <c r="DJ21" s="21"/>
      <c r="DK21" s="21"/>
      <c r="DL21" s="21"/>
      <c r="DM21" s="21"/>
      <c r="DN21" s="21"/>
      <c r="DP21" s="21"/>
      <c r="DQ21" s="21"/>
      <c r="DR21" s="21"/>
      <c r="DS21" s="21"/>
      <c r="DT21" s="21"/>
      <c r="DU21" s="21"/>
      <c r="EG21" s="21"/>
      <c r="EH21" s="21"/>
      <c r="EI21" s="21"/>
      <c r="EJ21" s="21"/>
      <c r="EK21" s="21"/>
      <c r="EL21" s="21"/>
      <c r="EM21" s="21"/>
      <c r="EN21" s="21"/>
      <c r="EO21" s="21"/>
      <c r="EP21" s="21"/>
      <c r="EQ21" s="21"/>
      <c r="ES21" s="21"/>
      <c r="ET21" s="21"/>
      <c r="EU21" s="21"/>
      <c r="EV21" s="21"/>
      <c r="EW21" s="21"/>
      <c r="EX21" s="21"/>
      <c r="FV21" s="21"/>
      <c r="FW21" s="21"/>
      <c r="FX21" s="21"/>
      <c r="FY21" s="21"/>
      <c r="FZ21" s="21"/>
    </row>
    <row r="22" spans="1:220" s="11" customFormat="1" ht="15">
      <c r="CC22" s="21"/>
      <c r="CD22" s="21"/>
      <c r="CE22" s="21"/>
      <c r="CF22" s="21"/>
      <c r="CG22" s="21"/>
      <c r="CH22" s="21"/>
      <c r="CI22" s="21"/>
      <c r="CJ22" s="21"/>
      <c r="CK22" s="21"/>
      <c r="CL22" s="21"/>
      <c r="CM22" s="21"/>
      <c r="CN22" s="21"/>
      <c r="CO22" s="21"/>
      <c r="CP22" s="21"/>
      <c r="CQ22" s="21"/>
      <c r="CR22" s="21"/>
      <c r="CS22" s="21"/>
      <c r="CU22" s="23"/>
      <c r="CV22" s="23"/>
      <c r="CW22" s="23"/>
      <c r="CX22" s="23"/>
      <c r="CY22" s="23"/>
      <c r="CZ22" s="23"/>
      <c r="DA22" s="23"/>
      <c r="DB22" s="23"/>
      <c r="DC22" s="23"/>
      <c r="DE22" s="21"/>
      <c r="DF22" s="21"/>
      <c r="DG22" s="21"/>
      <c r="DH22" s="21"/>
      <c r="DI22" s="21"/>
      <c r="DJ22" s="21"/>
      <c r="DK22" s="21"/>
      <c r="DL22" s="21"/>
      <c r="DM22" s="21"/>
      <c r="DN22" s="21"/>
      <c r="DP22" s="21"/>
      <c r="DQ22" s="21"/>
      <c r="DR22" s="21"/>
      <c r="DS22" s="21"/>
      <c r="DT22" s="21"/>
      <c r="DU22" s="21"/>
      <c r="EG22" s="21"/>
      <c r="EH22" s="21"/>
      <c r="EI22" s="21"/>
      <c r="EJ22" s="21"/>
      <c r="EK22" s="21"/>
      <c r="EL22" s="21"/>
      <c r="EM22" s="21"/>
      <c r="EN22" s="21"/>
      <c r="EO22" s="21"/>
      <c r="EP22" s="21"/>
      <c r="EQ22" s="21"/>
      <c r="ES22" s="21"/>
      <c r="ET22" s="21"/>
      <c r="EU22" s="21"/>
      <c r="EV22" s="21"/>
      <c r="EW22" s="21"/>
      <c r="EX22" s="21"/>
      <c r="FV22" s="21"/>
      <c r="FW22" s="21"/>
      <c r="FX22" s="21"/>
      <c r="FY22" s="21"/>
      <c r="FZ22" s="21"/>
    </row>
    <row r="23" spans="1:220" s="11" customFormat="1" ht="15">
      <c r="CC23" s="21"/>
      <c r="CD23" s="21"/>
      <c r="CE23" s="21"/>
      <c r="CF23" s="21"/>
      <c r="CG23" s="21"/>
      <c r="CH23" s="21"/>
      <c r="CI23" s="21"/>
      <c r="CJ23" s="21"/>
      <c r="CK23" s="21"/>
      <c r="CL23" s="21"/>
      <c r="CM23" s="21"/>
      <c r="CN23" s="21"/>
      <c r="CO23" s="21"/>
      <c r="CP23" s="21"/>
      <c r="CQ23" s="21"/>
      <c r="CR23" s="21"/>
      <c r="CS23" s="21"/>
      <c r="CU23" s="23"/>
      <c r="CV23" s="23"/>
      <c r="CW23" s="23"/>
      <c r="CX23" s="23"/>
      <c r="CY23" s="23"/>
      <c r="CZ23" s="23"/>
      <c r="DA23" s="23"/>
      <c r="DB23" s="23"/>
      <c r="DC23" s="23"/>
      <c r="DE23" s="21"/>
      <c r="DF23" s="21"/>
      <c r="DG23" s="21"/>
      <c r="DH23" s="21"/>
      <c r="DI23" s="21"/>
      <c r="DJ23" s="21"/>
      <c r="DK23" s="21"/>
      <c r="DL23" s="21"/>
      <c r="DM23" s="21"/>
      <c r="DN23" s="21"/>
      <c r="DP23" s="21"/>
      <c r="DQ23" s="21"/>
      <c r="DR23" s="21"/>
      <c r="DS23" s="21"/>
      <c r="DT23" s="21"/>
      <c r="DU23" s="21"/>
      <c r="EG23" s="21"/>
      <c r="EH23" s="21"/>
      <c r="EI23" s="21"/>
      <c r="EJ23" s="21"/>
      <c r="EK23" s="21"/>
      <c r="EL23" s="21"/>
      <c r="EM23" s="21"/>
      <c r="EN23" s="21"/>
      <c r="EO23" s="21"/>
      <c r="EP23" s="21"/>
      <c r="EQ23" s="21"/>
      <c r="ES23" s="21"/>
      <c r="ET23" s="21"/>
      <c r="EU23" s="21"/>
      <c r="EV23" s="21"/>
      <c r="EW23" s="21"/>
      <c r="EX23" s="21"/>
      <c r="FV23" s="21"/>
      <c r="FW23" s="21"/>
      <c r="FX23" s="21"/>
      <c r="FY23" s="21"/>
      <c r="FZ23" s="21"/>
    </row>
    <row r="24" spans="1:220" s="11" customFormat="1" ht="15">
      <c r="CC24" s="21"/>
      <c r="CD24" s="21"/>
      <c r="CE24" s="21"/>
      <c r="CF24" s="21"/>
      <c r="CG24" s="21"/>
      <c r="CH24" s="21"/>
      <c r="CI24" s="21"/>
      <c r="CJ24" s="21"/>
      <c r="CK24" s="21"/>
      <c r="CL24" s="21"/>
      <c r="CM24" s="21"/>
      <c r="CN24" s="21"/>
      <c r="CO24" s="21"/>
      <c r="CP24" s="21"/>
      <c r="CQ24" s="21"/>
      <c r="CR24" s="21"/>
      <c r="CS24" s="21"/>
      <c r="CU24" s="23"/>
      <c r="CV24" s="23"/>
      <c r="CW24" s="23"/>
      <c r="CX24" s="23"/>
      <c r="CY24" s="23"/>
      <c r="CZ24" s="23"/>
      <c r="DA24" s="23"/>
      <c r="DB24" s="23"/>
      <c r="DC24" s="23"/>
      <c r="DE24" s="21"/>
      <c r="DF24" s="21"/>
      <c r="DG24" s="21"/>
      <c r="DH24" s="21"/>
      <c r="DI24" s="21"/>
      <c r="DJ24" s="21"/>
      <c r="DK24" s="21"/>
      <c r="DL24" s="21"/>
      <c r="DM24" s="21"/>
      <c r="DN24" s="21"/>
      <c r="DP24" s="21"/>
      <c r="DQ24" s="21"/>
      <c r="DR24" s="21"/>
      <c r="DS24" s="21"/>
      <c r="DT24" s="21"/>
      <c r="DU24" s="21"/>
      <c r="EG24" s="21"/>
      <c r="EH24" s="21"/>
      <c r="EI24" s="21"/>
      <c r="EJ24" s="21"/>
      <c r="EK24" s="21"/>
      <c r="EL24" s="21"/>
      <c r="EM24" s="21"/>
      <c r="EN24" s="21"/>
      <c r="EO24" s="21"/>
      <c r="EP24" s="21"/>
      <c r="EQ24" s="21"/>
      <c r="ES24" s="21"/>
      <c r="ET24" s="21"/>
      <c r="EU24" s="21"/>
      <c r="EV24" s="21"/>
      <c r="EW24" s="21"/>
      <c r="EX24" s="21"/>
      <c r="FV24" s="21"/>
      <c r="FW24" s="21"/>
      <c r="FX24" s="21"/>
      <c r="FY24" s="21"/>
      <c r="FZ24" s="21"/>
    </row>
    <row r="25" spans="1:220" s="11" customFormat="1" ht="15">
      <c r="G25" s="9"/>
      <c r="H25" s="9"/>
      <c r="I25" s="9"/>
      <c r="J25" s="9"/>
      <c r="K25" s="9"/>
      <c r="L25" s="81"/>
      <c r="M25" s="81"/>
      <c r="CC25" s="21"/>
      <c r="CD25" s="21"/>
      <c r="CE25" s="21"/>
      <c r="CF25" s="21"/>
      <c r="CG25" s="21"/>
      <c r="CH25" s="21"/>
      <c r="CI25" s="21"/>
      <c r="CJ25" s="21"/>
      <c r="CK25" s="21"/>
      <c r="CL25" s="21"/>
      <c r="CM25" s="21"/>
      <c r="CN25" s="21"/>
      <c r="CO25" s="21"/>
      <c r="CP25" s="21"/>
      <c r="CQ25" s="21"/>
      <c r="CR25" s="21"/>
      <c r="CS25" s="21"/>
      <c r="CU25" s="23"/>
      <c r="CV25" s="23"/>
      <c r="CW25" s="23"/>
      <c r="CX25" s="23"/>
      <c r="CY25" s="23"/>
      <c r="CZ25" s="23"/>
      <c r="DA25" s="23"/>
      <c r="DB25" s="23"/>
      <c r="DC25" s="23"/>
      <c r="DD25" s="23"/>
      <c r="DP25" s="21"/>
      <c r="DQ25" s="21"/>
      <c r="DR25" s="21"/>
      <c r="DS25" s="21"/>
      <c r="DT25" s="21"/>
      <c r="DU25" s="21"/>
      <c r="EG25" s="21"/>
      <c r="EH25" s="21"/>
      <c r="EI25" s="21"/>
      <c r="EJ25" s="21"/>
      <c r="EK25" s="21"/>
      <c r="EL25" s="21"/>
      <c r="EM25" s="21"/>
      <c r="EN25" s="21"/>
      <c r="EO25" s="21"/>
      <c r="EP25" s="21"/>
      <c r="EQ25" s="21"/>
      <c r="ES25" s="21"/>
      <c r="ET25" s="21"/>
      <c r="EU25" s="21"/>
      <c r="EV25" s="21"/>
      <c r="EW25" s="21"/>
      <c r="EX25" s="21"/>
      <c r="FV25" s="21"/>
      <c r="FW25" s="21"/>
      <c r="FX25" s="21"/>
      <c r="FY25" s="21"/>
      <c r="FZ25" s="21"/>
    </row>
    <row r="26" spans="1:220">
      <c r="F26" s="11"/>
      <c r="M26" s="11"/>
    </row>
    <row r="27" spans="1:220">
      <c r="F27" s="11"/>
      <c r="M27" s="11"/>
    </row>
    <row r="28" spans="1:220">
      <c r="F28" s="11"/>
      <c r="M28" s="11"/>
    </row>
    <row r="29" spans="1:220">
      <c r="F29" s="11"/>
      <c r="M29" s="11"/>
    </row>
    <row r="30" spans="1:220">
      <c r="F30" s="11"/>
      <c r="M30" s="11"/>
    </row>
    <row r="31" spans="1:220">
      <c r="F31" s="11"/>
      <c r="M31" s="11"/>
    </row>
    <row r="32" spans="1:220">
      <c r="F32" s="11"/>
      <c r="M32" s="11"/>
    </row>
    <row r="33" spans="6:13">
      <c r="F33" s="11"/>
      <c r="M33" s="11"/>
    </row>
    <row r="34" spans="6:13">
      <c r="F34" s="11"/>
      <c r="M34" s="11"/>
    </row>
    <row r="35" spans="6:13">
      <c r="F35" s="11"/>
      <c r="M35" s="11"/>
    </row>
    <row r="36" spans="6:13">
      <c r="F36" s="11"/>
      <c r="M36" s="11"/>
    </row>
    <row r="37" spans="6:13">
      <c r="F37" s="11"/>
      <c r="M37" s="11"/>
    </row>
  </sheetData>
  <phoneticPr fontId="4"/>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28"/>
  <sheetViews>
    <sheetView workbookViewId="0">
      <pane xSplit="1" ySplit="2" topLeftCell="B3" activePane="bottomRight" state="frozen"/>
      <selection pane="topRight" activeCell="B1" sqref="B1"/>
      <selection pane="bottomLeft" activeCell="A2" sqref="A2"/>
      <selection pane="bottomRight"/>
    </sheetView>
  </sheetViews>
  <sheetFormatPr baseColWidth="12" defaultRowHeight="18" x14ac:dyDescent="0"/>
  <cols>
    <col min="1" max="8" width="12.83203125" style="11"/>
    <col min="9" max="9" width="16.1640625" style="11" customWidth="1"/>
    <col min="10" max="14" width="12.83203125" style="11"/>
    <col min="15" max="22" width="12.83203125" style="21"/>
    <col min="23" max="46" width="12.83203125" style="11"/>
    <col min="47" max="63" width="12.83203125" style="21"/>
    <col min="64" max="64" width="12.83203125" style="11"/>
    <col min="65" max="87" width="12.83203125" style="21"/>
    <col min="88" max="91" width="12.83203125" style="11"/>
    <col min="92" max="92" width="16.83203125" customWidth="1"/>
  </cols>
  <sheetData>
    <row r="1" spans="1:103">
      <c r="A1" s="11" t="s">
        <v>233</v>
      </c>
      <c r="C1" s="11" t="s">
        <v>242</v>
      </c>
      <c r="O1" s="21" t="s">
        <v>236</v>
      </c>
      <c r="X1" s="11" t="s">
        <v>237</v>
      </c>
      <c r="AG1" s="11" t="s">
        <v>593</v>
      </c>
      <c r="AU1" s="21" t="s">
        <v>440</v>
      </c>
      <c r="BD1" s="21" t="s">
        <v>594</v>
      </c>
      <c r="BM1" s="21" t="s">
        <v>246</v>
      </c>
    </row>
    <row r="2" spans="1:103" s="74" customFormat="1" ht="75">
      <c r="A2" s="70" t="s">
        <v>7</v>
      </c>
      <c r="B2" s="70" t="s">
        <v>188</v>
      </c>
      <c r="C2" s="33" t="s">
        <v>10</v>
      </c>
      <c r="D2" s="33" t="s">
        <v>8</v>
      </c>
      <c r="E2" s="34" t="s">
        <v>21</v>
      </c>
      <c r="F2" s="34" t="s">
        <v>234</v>
      </c>
      <c r="G2" s="34" t="s">
        <v>23</v>
      </c>
      <c r="H2" s="33" t="s">
        <v>235</v>
      </c>
      <c r="I2" s="33" t="s">
        <v>189</v>
      </c>
      <c r="J2" s="33" t="s">
        <v>11</v>
      </c>
      <c r="K2" s="33" t="s">
        <v>9</v>
      </c>
      <c r="L2" s="34" t="s">
        <v>22</v>
      </c>
      <c r="M2" s="34" t="s">
        <v>24</v>
      </c>
      <c r="N2" s="34"/>
      <c r="O2" s="42" t="s">
        <v>10</v>
      </c>
      <c r="P2" s="42" t="s">
        <v>8</v>
      </c>
      <c r="Q2" s="42" t="s">
        <v>174</v>
      </c>
      <c r="R2" s="42" t="s">
        <v>149</v>
      </c>
      <c r="S2" s="42" t="s">
        <v>11</v>
      </c>
      <c r="T2" s="42" t="s">
        <v>9</v>
      </c>
      <c r="U2" s="42" t="s">
        <v>22</v>
      </c>
      <c r="V2" s="42" t="s">
        <v>24</v>
      </c>
      <c r="W2" s="34"/>
      <c r="X2" s="33" t="s">
        <v>238</v>
      </c>
      <c r="Y2" s="33" t="s">
        <v>239</v>
      </c>
      <c r="Z2" s="34" t="s">
        <v>21</v>
      </c>
      <c r="AA2" s="34" t="s">
        <v>149</v>
      </c>
      <c r="AB2" s="33" t="s">
        <v>240</v>
      </c>
      <c r="AC2" s="33" t="s">
        <v>241</v>
      </c>
      <c r="AD2" s="34" t="s">
        <v>22</v>
      </c>
      <c r="AE2" s="34" t="s">
        <v>24</v>
      </c>
      <c r="AF2" s="34"/>
      <c r="AG2" s="33" t="s">
        <v>10</v>
      </c>
      <c r="AH2" s="33" t="s">
        <v>8</v>
      </c>
      <c r="AI2" s="34" t="s">
        <v>175</v>
      </c>
      <c r="AJ2" s="34" t="s">
        <v>243</v>
      </c>
      <c r="AK2" s="34" t="s">
        <v>149</v>
      </c>
      <c r="AL2" s="34" t="s">
        <v>244</v>
      </c>
      <c r="AM2" s="33" t="s">
        <v>11</v>
      </c>
      <c r="AN2" s="33" t="s">
        <v>9</v>
      </c>
      <c r="AO2" s="34" t="s">
        <v>22</v>
      </c>
      <c r="AP2" s="34" t="s">
        <v>24</v>
      </c>
      <c r="AQ2" s="34"/>
      <c r="AR2" s="34" t="s">
        <v>162</v>
      </c>
      <c r="AS2" s="34"/>
      <c r="AT2" s="34"/>
      <c r="AU2" s="42" t="s">
        <v>10</v>
      </c>
      <c r="AV2" s="42" t="s">
        <v>8</v>
      </c>
      <c r="AW2" s="42" t="s">
        <v>441</v>
      </c>
      <c r="AX2" s="42" t="s">
        <v>149</v>
      </c>
      <c r="AY2" s="42" t="s">
        <v>11</v>
      </c>
      <c r="AZ2" s="42" t="s">
        <v>9</v>
      </c>
      <c r="BA2" s="42" t="s">
        <v>22</v>
      </c>
      <c r="BB2" s="42" t="s">
        <v>24</v>
      </c>
      <c r="BC2" s="42"/>
      <c r="BD2" s="42" t="s">
        <v>10</v>
      </c>
      <c r="BE2" s="42" t="s">
        <v>8</v>
      </c>
      <c r="BF2" s="42" t="s">
        <v>442</v>
      </c>
      <c r="BG2" s="42" t="s">
        <v>149</v>
      </c>
      <c r="BH2" s="42" t="s">
        <v>11</v>
      </c>
      <c r="BI2" s="42" t="s">
        <v>9</v>
      </c>
      <c r="BJ2" s="42" t="s">
        <v>22</v>
      </c>
      <c r="BK2" s="42" t="s">
        <v>24</v>
      </c>
      <c r="BL2" s="71"/>
      <c r="BM2" s="72" t="s">
        <v>247</v>
      </c>
      <c r="BN2" s="73" t="s">
        <v>73</v>
      </c>
      <c r="BO2" s="73" t="s">
        <v>74</v>
      </c>
      <c r="BP2" s="73" t="s">
        <v>75</v>
      </c>
      <c r="BQ2" s="73" t="s">
        <v>161</v>
      </c>
      <c r="BR2" s="73"/>
      <c r="BS2" s="72" t="s">
        <v>248</v>
      </c>
      <c r="BT2" s="73" t="s">
        <v>73</v>
      </c>
      <c r="BU2" s="73" t="s">
        <v>74</v>
      </c>
      <c r="BV2" s="73" t="s">
        <v>75</v>
      </c>
      <c r="BW2" s="73" t="s">
        <v>161</v>
      </c>
      <c r="BX2" s="73"/>
      <c r="BY2" s="72" t="s">
        <v>595</v>
      </c>
      <c r="BZ2" s="73" t="s">
        <v>73</v>
      </c>
      <c r="CA2" s="73" t="s">
        <v>74</v>
      </c>
      <c r="CB2" s="73" t="s">
        <v>75</v>
      </c>
      <c r="CC2" s="73" t="s">
        <v>161</v>
      </c>
      <c r="CD2" s="73"/>
      <c r="CE2" s="72" t="s">
        <v>596</v>
      </c>
      <c r="CF2" s="73" t="s">
        <v>73</v>
      </c>
      <c r="CG2" s="73" t="s">
        <v>74</v>
      </c>
      <c r="CH2" s="73" t="s">
        <v>75</v>
      </c>
      <c r="CI2" s="73" t="s">
        <v>161</v>
      </c>
      <c r="CJ2" s="71"/>
      <c r="CK2" s="71"/>
      <c r="CL2" s="71"/>
      <c r="CM2" s="71"/>
    </row>
    <row r="3" spans="1:103" s="35" customFormat="1">
      <c r="A3" s="31">
        <v>1995</v>
      </c>
      <c r="B3" s="32">
        <f>C3+D3+E3+G3+H3</f>
        <v>270738</v>
      </c>
      <c r="C3" s="33">
        <f>NFA_in_yen!C3</f>
        <v>24520</v>
      </c>
      <c r="D3" s="33">
        <f>NFA_in_yen!D3</f>
        <v>15040</v>
      </c>
      <c r="E3" s="34">
        <f>NFA_in_yen!E3</f>
        <v>73217</v>
      </c>
      <c r="F3" s="32">
        <f>E3+H3</f>
        <v>92049</v>
      </c>
      <c r="G3" s="34">
        <f>NFA_in_yen!G3</f>
        <v>139129</v>
      </c>
      <c r="H3" s="33">
        <f>NFA_in_yen!H3</f>
        <v>18832</v>
      </c>
      <c r="I3" s="32">
        <f>J3+K3+L3+M3</f>
        <v>186666</v>
      </c>
      <c r="J3" s="33">
        <f>NFA_in_yen!J3</f>
        <v>3448</v>
      </c>
      <c r="K3" s="33">
        <f>NFA_in_yen!K3</f>
        <v>31495</v>
      </c>
      <c r="L3" s="34">
        <f>NFA_in_yen!L3</f>
        <v>24884</v>
      </c>
      <c r="M3" s="34">
        <f>NFA_in_yen!N3</f>
        <v>126839</v>
      </c>
      <c r="N3" s="34"/>
      <c r="O3" s="41">
        <f t="shared" ref="O3:O20" si="0">C3/B3</f>
        <v>9.0567264292415545E-2</v>
      </c>
      <c r="P3" s="41">
        <f t="shared" ref="P3:P20" si="1">D3/B3</f>
        <v>5.5551861947713291E-2</v>
      </c>
      <c r="Q3" s="41">
        <f t="shared" ref="Q3:Q20" si="2">F3/B3</f>
        <v>0.33999290827294282</v>
      </c>
      <c r="R3" s="41">
        <f t="shared" ref="R3:R20" si="3">G3/B3</f>
        <v>0.51388796548692828</v>
      </c>
      <c r="S3" s="41">
        <f t="shared" ref="S3:S20" si="4">J3/I3</f>
        <v>1.8471494541051934E-2</v>
      </c>
      <c r="T3" s="41">
        <f t="shared" ref="T3:T20" si="5">K3/I3</f>
        <v>0.16872381687077453</v>
      </c>
      <c r="U3" s="41">
        <f t="shared" ref="U3:U20" si="6">L3/I3</f>
        <v>0.133307618955782</v>
      </c>
      <c r="V3" s="41">
        <f t="shared" ref="V3:V20" si="7">M3/I3</f>
        <v>0.67949706963239154</v>
      </c>
      <c r="W3" s="36"/>
      <c r="X3" s="36"/>
      <c r="Y3" s="36"/>
      <c r="Z3" s="36"/>
      <c r="AA3" s="36"/>
      <c r="AB3" s="36"/>
      <c r="AC3" s="36"/>
      <c r="AD3" s="36"/>
      <c r="AE3" s="36"/>
      <c r="AF3" s="36"/>
      <c r="AG3" s="36"/>
      <c r="AH3" s="36"/>
      <c r="AI3" s="36"/>
      <c r="AJ3" s="36"/>
      <c r="AK3" s="36"/>
      <c r="AL3" s="36"/>
      <c r="AM3" s="36"/>
      <c r="AN3" s="36"/>
      <c r="AO3" s="36"/>
      <c r="AP3" s="36"/>
      <c r="AQ3" s="36"/>
      <c r="AR3" s="36"/>
      <c r="AS3" s="36"/>
      <c r="AT3" s="36"/>
      <c r="AU3" s="41"/>
      <c r="AV3" s="41"/>
      <c r="AW3" s="41"/>
      <c r="AX3" s="41"/>
      <c r="AY3" s="41"/>
      <c r="AZ3" s="41"/>
      <c r="BA3" s="41"/>
      <c r="BB3" s="41"/>
      <c r="BC3" s="41"/>
      <c r="BD3" s="41"/>
      <c r="BE3" s="41"/>
      <c r="BF3" s="41"/>
      <c r="BG3" s="41"/>
      <c r="BH3" s="41"/>
      <c r="BI3" s="41"/>
      <c r="BJ3" s="41"/>
      <c r="BK3" s="41"/>
      <c r="BL3" s="36"/>
      <c r="BM3" s="41"/>
      <c r="BN3" s="41"/>
      <c r="BO3" s="41"/>
      <c r="BP3" s="41"/>
      <c r="BQ3" s="41"/>
      <c r="BR3" s="41"/>
      <c r="BS3" s="41"/>
      <c r="BT3" s="41"/>
      <c r="BU3" s="41"/>
      <c r="BV3" s="41"/>
      <c r="BW3" s="41"/>
      <c r="BX3" s="41"/>
      <c r="BY3" s="41"/>
      <c r="BZ3" s="41"/>
      <c r="CA3" s="41"/>
      <c r="CB3" s="41"/>
      <c r="CC3" s="41"/>
      <c r="CD3" s="41"/>
      <c r="CE3" s="41"/>
      <c r="CF3" s="41"/>
      <c r="CG3" s="41"/>
      <c r="CH3" s="41"/>
      <c r="CI3" s="41"/>
      <c r="CJ3" s="36"/>
      <c r="CK3" s="36"/>
      <c r="CL3" s="36"/>
      <c r="CM3" s="36"/>
    </row>
    <row r="4" spans="1:103">
      <c r="A4" s="30">
        <v>1996</v>
      </c>
      <c r="B4" s="63">
        <f>C4+D4+E4+G4+H4</f>
        <v>301778</v>
      </c>
      <c r="C4" s="64">
        <f>NFA_in_yen!C4</f>
        <v>29999</v>
      </c>
      <c r="D4" s="64">
        <f>NFA_in_yen!D4</f>
        <v>17991</v>
      </c>
      <c r="E4" s="65">
        <f>NFA_in_yen!E4</f>
        <v>93174</v>
      </c>
      <c r="F4" s="63">
        <f>E4+H4</f>
        <v>118416</v>
      </c>
      <c r="G4" s="65">
        <f>NFA_in_yen!G4</f>
        <v>135372</v>
      </c>
      <c r="H4" s="64">
        <f>NFA_in_yen!H4</f>
        <v>25242</v>
      </c>
      <c r="I4" s="63">
        <f>J4+K4+L4+M4</f>
        <v>198563</v>
      </c>
      <c r="J4" s="64">
        <f>NFA_in_yen!J4</f>
        <v>3473</v>
      </c>
      <c r="K4" s="64">
        <f>NFA_in_yen!K4</f>
        <v>36256</v>
      </c>
      <c r="L4" s="65">
        <f>NFA_in_yen!L4</f>
        <v>29821</v>
      </c>
      <c r="M4" s="65">
        <f>NFA_in_yen!N4</f>
        <v>129013</v>
      </c>
      <c r="N4" s="34"/>
      <c r="O4" s="21">
        <f t="shared" si="0"/>
        <v>9.9407511481950303E-2</v>
      </c>
      <c r="P4" s="21">
        <f t="shared" si="1"/>
        <v>5.9616671858120869E-2</v>
      </c>
      <c r="Q4" s="21">
        <f t="shared" si="2"/>
        <v>0.39239440913519208</v>
      </c>
      <c r="R4" s="21">
        <f t="shared" si="3"/>
        <v>0.44858140752473674</v>
      </c>
      <c r="S4" s="21">
        <f t="shared" si="4"/>
        <v>1.7490670467307606E-2</v>
      </c>
      <c r="T4" s="21">
        <f t="shared" si="5"/>
        <v>0.18259192296651441</v>
      </c>
      <c r="U4" s="21">
        <f t="shared" si="6"/>
        <v>0.15018407256135333</v>
      </c>
      <c r="V4" s="21">
        <f t="shared" si="7"/>
        <v>0.64973333400482469</v>
      </c>
      <c r="X4" s="11">
        <f>Balance_on_income!C4</f>
        <v>1586.6</v>
      </c>
      <c r="Y4" s="11">
        <f>Balance_on_income!D4</f>
        <v>534.20000000000005</v>
      </c>
      <c r="Z4" s="11">
        <f>Balance_on_income!E4</f>
        <v>5669.2</v>
      </c>
      <c r="AA4" s="11">
        <f>Balance_on_income!F4</f>
        <v>4391.3</v>
      </c>
      <c r="AB4" s="11">
        <f>Balance_on_income!H4</f>
        <v>391.3</v>
      </c>
      <c r="AC4" s="11">
        <f>Balance_on_income!I4</f>
        <v>183.3</v>
      </c>
      <c r="AD4" s="11">
        <f>Balance_on_income!J4</f>
        <v>1661.6</v>
      </c>
      <c r="AE4" s="11">
        <f>Balance_on_income!K4</f>
        <v>4131.8</v>
      </c>
      <c r="AG4" s="26">
        <f>'Stock-flow'!O4</f>
        <v>2930.7</v>
      </c>
      <c r="AH4" s="26">
        <f>'Stock-flow'!Z4</f>
        <v>2046.5</v>
      </c>
      <c r="AI4" s="26">
        <f>'Stock-flow'!AK4</f>
        <v>9856.1</v>
      </c>
      <c r="AJ4" s="26">
        <f>'Stock-flow'!BE4+'Stock-flow'!AK4</f>
        <v>12500.130000000001</v>
      </c>
      <c r="AK4" s="26">
        <f>'Stock-flow'!AV4</f>
        <v>-3291.4</v>
      </c>
      <c r="AL4" s="26">
        <f>'Stock-flow'!BE4</f>
        <v>2644.03</v>
      </c>
      <c r="AM4" s="26">
        <f>'Stock-flow'!P4</f>
        <v>0.19999999999999929</v>
      </c>
      <c r="AN4" s="26">
        <f>'Stock-flow'!AA4</f>
        <v>-537.19999999999982</v>
      </c>
      <c r="AO4" s="26">
        <f>'Stock-flow'!AL4</f>
        <v>2938.1</v>
      </c>
      <c r="AP4" s="26">
        <f>'Stock-flow'!AW4</f>
        <v>-1404.6</v>
      </c>
      <c r="AQ4" s="26"/>
      <c r="AR4" s="8">
        <f>yield!M4</f>
        <v>0.131871754719214</v>
      </c>
      <c r="AS4" s="26"/>
      <c r="AU4" s="21">
        <f t="shared" ref="AU4:AU20" si="8">(1+X4/C3)/(1+AR4/100)-1</f>
        <v>6.3304164293887411E-2</v>
      </c>
      <c r="AV4" s="21">
        <f t="shared" ref="AV4:AV20" si="9">(1+Y4/D3)/(1+AR4/100)-1</f>
        <v>3.415485886238101E-2</v>
      </c>
      <c r="AW4" s="21">
        <f t="shared" ref="AW4:AW20" si="10">(1+Z4/F3)/(1+AR4/100)-1</f>
        <v>6.019084405795927E-2</v>
      </c>
      <c r="AX4" s="21">
        <f t="shared" ref="AX4:AX20" si="11">(1+AA4/G3)/(1+AR4/100)-1</f>
        <v>3.0204245825154352E-2</v>
      </c>
      <c r="AY4" s="21">
        <f t="shared" ref="AY4:AY20" si="12">(1+AB4/J3)/(1+AR4/100)-1</f>
        <v>0.11201963907543977</v>
      </c>
      <c r="AZ4" s="21">
        <f t="shared" ref="AZ4:AZ20" si="13">(1+AC4/K3)/(1+AR4/100)-1</f>
        <v>4.4953258118149986E-3</v>
      </c>
      <c r="BA4" s="21">
        <f t="shared" ref="BA4:BA20" si="14">(1+AD4/L3)/(1+AR4/100)-1</f>
        <v>6.5368909898147143E-2</v>
      </c>
      <c r="BB4" s="21">
        <f t="shared" ref="BB4:BB20" si="15">(1+AE4/M3)/(1+AR4/100)-1</f>
        <v>3.1215272654522286E-2</v>
      </c>
      <c r="BD4" s="21">
        <f t="shared" ref="BD4:BD20" si="16">(1+AG4/C3)/(1+AR4/100)-1</f>
        <v>0.11804844839167927</v>
      </c>
      <c r="BE4" s="21">
        <f t="shared" ref="BE4:BE20" si="17">(1+AH4/D3)/(1+AR4/100)-1</f>
        <v>0.13457429569108337</v>
      </c>
      <c r="BF4" s="21">
        <f t="shared" ref="BF4:BF20" si="18">(1+AJ4/F3)/(1+AR4/100)-1</f>
        <v>0.1343028256785872</v>
      </c>
      <c r="BG4" s="21">
        <f t="shared" ref="BG4:BG20" si="19">(1+AK4/G3)/(1+AR4/100)-1</f>
        <v>-2.4943006231878173E-2</v>
      </c>
      <c r="BH4" s="21">
        <f t="shared" ref="BH4:BH20" si="20">(1+AM4/J3)/(1+AR4/100)-1</f>
        <v>-1.259052572101016E-3</v>
      </c>
      <c r="BI4" s="21">
        <f t="shared" ref="BI4:BI20" si="21">(1+AN4/K3)/(1+AR4/100)-1</f>
        <v>-1.8351193169551139E-2</v>
      </c>
      <c r="BJ4" s="21">
        <f t="shared" ref="BJ4:BJ20" si="22">(1+AO4/L3)/(1+AR4/100)-1</f>
        <v>0.1165993742118181</v>
      </c>
      <c r="BK4" s="21">
        <f t="shared" ref="BK4:BK20" si="23">(1+AP4/M3)/(1+AR4/100)-1</f>
        <v>-1.2376277794314272E-2</v>
      </c>
      <c r="BM4" s="21">
        <f>SUM(BN4:BQ4)</f>
        <v>-0.11586442891331422</v>
      </c>
      <c r="BN4" s="21">
        <f t="shared" ref="BN4:BN20" si="24">(AVERAGE(O3,S3)*(AU4-AY4))*100</f>
        <v>-0.2655937453081777</v>
      </c>
      <c r="BO4" s="21">
        <f t="shared" ref="BO4:BO20" si="25">(AVERAGE(P3,T3))*(AV4-AZ4)*100</f>
        <v>0.3325955954177533</v>
      </c>
      <c r="BP4" s="21">
        <f t="shared" ref="BP4:BP20" si="26">(AVERAGE(Q3,U3))*(AW4-BA4)*100</f>
        <v>-0.12253906460929852</v>
      </c>
      <c r="BQ4" s="21">
        <f t="shared" ref="BQ4:BQ20" si="27">(AVERAGE(R3,V3))*(AX4-BB4)*100</f>
        <v>-6.0327214413591304E-2</v>
      </c>
      <c r="BS4" s="21">
        <f>SUM(BT4:BW4)</f>
        <v>1.2022855121238334</v>
      </c>
      <c r="BT4" s="21">
        <f t="shared" ref="BT4:BT20" si="28">(O3-S3)*AVERAGE(AU4,AY4)*100</f>
        <v>0.63200522798241798</v>
      </c>
      <c r="BU4" s="21">
        <f t="shared" ref="BU4:BU20" si="29">(P3-T3)*AVERAGE(AV4,AZ4)*100</f>
        <v>-0.21870584788580516</v>
      </c>
      <c r="BV4" s="21">
        <f t="shared" ref="BV4:BV20" si="30">(Q3-U3)*AVERAGE(AW4,BA4)*100</f>
        <v>1.2975677036504691</v>
      </c>
      <c r="BW4" s="21">
        <f t="shared" ref="BW4:BW20" si="31">(R3-V3)*AVERAGE(AX4,BB4)*100</f>
        <v>-0.50858157162324868</v>
      </c>
      <c r="BY4" s="21">
        <f>SUM(BZ4:CC4)</f>
        <v>2.0344358451337015</v>
      </c>
      <c r="BZ4" s="21">
        <f t="shared" ref="BZ4:BZ20" si="32">AVERAGE(O3,S3)*(BD4-BH4)*100</f>
        <v>0.65045709123066642</v>
      </c>
      <c r="CA4" s="21">
        <f t="shared" ref="CA4:CA20" si="33">AVERAGE(P3,T3)*(BE4-BI4)*100</f>
        <v>1.7148733911433949</v>
      </c>
      <c r="CB4" s="21">
        <f t="shared" ref="CB4:CB20" si="34">AVERAGE(Q3,U3)*(BF4-BJ4)*100</f>
        <v>0.41895264564949797</v>
      </c>
      <c r="CC4" s="21">
        <f t="shared" ref="CC4:CC20" si="35">AVERAGE(R3,V3)*(BG4-BK4)*100</f>
        <v>-0.74984728288985758</v>
      </c>
      <c r="CE4" s="21">
        <f>SUM(CF4:CI4)</f>
        <v>2.665251632020619</v>
      </c>
      <c r="CF4" s="21">
        <f t="shared" ref="CF4:CF20" si="36">(O3-S3)*AVERAGE(BD4,BH4)*100</f>
        <v>0.42100106952045913</v>
      </c>
      <c r="CG4" s="21">
        <f t="shared" ref="CG4:CG20" si="37">(P3-T3)*AVERAGE(BE4,BI4)*100</f>
        <v>-0.65765978597925856</v>
      </c>
      <c r="CH4" s="21">
        <f t="shared" ref="CH4:CH20" si="38">(Q3-U3)*AVERAGE(BF4,BJ4)*100</f>
        <v>2.5928896887330266</v>
      </c>
      <c r="CI4" s="21">
        <f t="shared" ref="CI4:CI20" si="39">(R3-V3)*AVERAGE(BG4,BK4)*100</f>
        <v>0.30902065974639142</v>
      </c>
      <c r="CN4" s="37"/>
      <c r="CO4" s="37" t="s">
        <v>166</v>
      </c>
      <c r="CP4" s="37"/>
      <c r="CQ4" s="37"/>
      <c r="CR4" s="37"/>
      <c r="CS4" s="37"/>
      <c r="CT4" s="25"/>
      <c r="CU4" s="25"/>
      <c r="CV4" s="25"/>
      <c r="CW4" s="25"/>
      <c r="CX4" s="25"/>
      <c r="CY4" s="25"/>
    </row>
    <row r="5" spans="1:103">
      <c r="A5" s="30">
        <v>1997</v>
      </c>
      <c r="B5" s="63">
        <f t="shared" ref="B5:B20" si="40">C5+D5+E5+G5+H5</f>
        <v>345951</v>
      </c>
      <c r="C5" s="64">
        <f>NFA_in_yen!C5</f>
        <v>35334</v>
      </c>
      <c r="D5" s="64">
        <f>NFA_in_yen!D5</f>
        <v>20635</v>
      </c>
      <c r="E5" s="65">
        <f>NFA_in_yen!E5</f>
        <v>101158</v>
      </c>
      <c r="F5" s="63">
        <f t="shared" ref="F5:F20" si="41">E5+H5</f>
        <v>129851</v>
      </c>
      <c r="G5" s="65">
        <f>NFA_in_yen!G5</f>
        <v>160131</v>
      </c>
      <c r="H5" s="64">
        <f>NFA_in_yen!H5</f>
        <v>28693</v>
      </c>
      <c r="I5" s="63">
        <f t="shared" ref="I5:I20" si="42">J5+K5+L5+M5</f>
        <v>221405</v>
      </c>
      <c r="J5" s="64">
        <f>NFA_in_yen!J5</f>
        <v>3519</v>
      </c>
      <c r="K5" s="64">
        <f>NFA_in_yen!K5</f>
        <v>36036</v>
      </c>
      <c r="L5" s="65">
        <f>NFA_in_yen!L5</f>
        <v>40942</v>
      </c>
      <c r="M5" s="65">
        <f>NFA_in_yen!N5</f>
        <v>140908</v>
      </c>
      <c r="N5" s="34"/>
      <c r="O5" s="21">
        <f t="shared" si="0"/>
        <v>0.1021358516090429</v>
      </c>
      <c r="P5" s="21">
        <f t="shared" si="1"/>
        <v>5.9647175467045913E-2</v>
      </c>
      <c r="Q5" s="21">
        <f t="shared" si="2"/>
        <v>0.3753450633182156</v>
      </c>
      <c r="R5" s="21">
        <f t="shared" si="3"/>
        <v>0.46287190960569563</v>
      </c>
      <c r="S5" s="21">
        <f t="shared" si="4"/>
        <v>1.5893950001129153E-2</v>
      </c>
      <c r="T5" s="21">
        <f t="shared" si="5"/>
        <v>0.16276055192972155</v>
      </c>
      <c r="U5" s="21">
        <f t="shared" si="6"/>
        <v>0.18491903976874957</v>
      </c>
      <c r="V5" s="21">
        <f t="shared" si="7"/>
        <v>0.63642645830039968</v>
      </c>
      <c r="W5" s="21"/>
      <c r="X5" s="11">
        <f>Balance_on_income!C5</f>
        <v>1945.1</v>
      </c>
      <c r="Y5" s="11">
        <f>Balance_on_income!D5</f>
        <v>671.8</v>
      </c>
      <c r="Z5" s="11">
        <f>Balance_on_income!E5</f>
        <v>6473.6</v>
      </c>
      <c r="AA5" s="11">
        <f>Balance_on_income!F5</f>
        <v>4391.3</v>
      </c>
      <c r="AB5" s="11">
        <f>Balance_on_income!H5</f>
        <v>480.6</v>
      </c>
      <c r="AC5" s="11">
        <f>Balance_on_income!I5</f>
        <v>230.4</v>
      </c>
      <c r="AD5" s="11">
        <f>Balance_on_income!J5</f>
        <v>1567.4</v>
      </c>
      <c r="AE5" s="11">
        <f>Balance_on_income!K5</f>
        <v>4167.5</v>
      </c>
      <c r="AG5" s="26">
        <f>'Stock-flow'!O5</f>
        <v>2190</v>
      </c>
      <c r="AH5" s="26">
        <f>'Stock-flow'!Z5</f>
        <v>999.3</v>
      </c>
      <c r="AI5" s="26">
        <f>'Stock-flow'!AK5</f>
        <v>4155.2</v>
      </c>
      <c r="AJ5" s="26">
        <f>'Stock-flow'!BE5+'Stock-flow'!AK5</f>
        <v>6840.1399999999994</v>
      </c>
      <c r="AK5" s="26">
        <f>'Stock-flow'!AV5</f>
        <v>1119.9000000000015</v>
      </c>
      <c r="AL5" s="26">
        <f>'Stock-flow'!BE5</f>
        <v>2684.94</v>
      </c>
      <c r="AM5" s="26">
        <f>'Stock-flow'!P5</f>
        <v>-344.2</v>
      </c>
      <c r="AN5" s="26">
        <f>'Stock-flow'!AA5</f>
        <v>-3416.8</v>
      </c>
      <c r="AO5" s="26">
        <f>'Stock-flow'!AL5</f>
        <v>4704</v>
      </c>
      <c r="AP5" s="26">
        <f>'Stock-flow'!AW5</f>
        <v>3569.1000000000004</v>
      </c>
      <c r="AQ5" s="26"/>
      <c r="AR5" s="8">
        <f>yield!M5</f>
        <v>1.7614618487114999</v>
      </c>
      <c r="AS5" s="26"/>
      <c r="AU5" s="21">
        <f t="shared" si="8"/>
        <v>4.6406771891725596E-2</v>
      </c>
      <c r="AV5" s="21">
        <f t="shared" si="9"/>
        <v>1.9384818007792015E-2</v>
      </c>
      <c r="AW5" s="21">
        <f t="shared" si="10"/>
        <v>3.6412281141511293E-2</v>
      </c>
      <c r="AX5" s="21">
        <f t="shared" si="11"/>
        <v>1.4567541171970122E-2</v>
      </c>
      <c r="AY5" s="21">
        <f t="shared" si="12"/>
        <v>0.11867673851686056</v>
      </c>
      <c r="AZ5" s="21">
        <f t="shared" si="13"/>
        <v>-1.1064904183029189E-2</v>
      </c>
      <c r="BA5" s="21">
        <f t="shared" si="14"/>
        <v>3.4340758469239452E-2</v>
      </c>
      <c r="BB5" s="21">
        <f t="shared" si="15"/>
        <v>1.4434076968592224E-2</v>
      </c>
      <c r="BD5" s="21">
        <f t="shared" si="16"/>
        <v>5.4429067665789921E-2</v>
      </c>
      <c r="BE5" s="21">
        <f t="shared" si="17"/>
        <v>3.7273266037967101E-2</v>
      </c>
      <c r="BF5" s="21">
        <f t="shared" si="18"/>
        <v>3.9454060100925448E-2</v>
      </c>
      <c r="BG5" s="21">
        <f t="shared" si="19"/>
        <v>-9.1801540684112171E-3</v>
      </c>
      <c r="BH5" s="21">
        <f t="shared" si="20"/>
        <v>-0.11470159361808141</v>
      </c>
      <c r="BI5" s="21">
        <f t="shared" si="21"/>
        <v>-0.10991938370042897</v>
      </c>
      <c r="BJ5" s="21">
        <f t="shared" si="22"/>
        <v>0.13770101968085302</v>
      </c>
      <c r="BK5" s="21">
        <f t="shared" si="23"/>
        <v>9.876072218211851E-3</v>
      </c>
      <c r="BM5" s="21">
        <f t="shared" ref="BM5:BM20" si="43">SUM(BN5:BQ5)</f>
        <v>9.8753022492582658E-3</v>
      </c>
      <c r="BN5" s="21">
        <f t="shared" si="24"/>
        <v>-0.4224113854005912</v>
      </c>
      <c r="BO5" s="21">
        <f t="shared" si="25"/>
        <v>0.36875922123196592</v>
      </c>
      <c r="BP5" s="21">
        <f t="shared" si="26"/>
        <v>5.6198181316061323E-2</v>
      </c>
      <c r="BQ5" s="21">
        <f t="shared" si="27"/>
        <v>7.3292851018222256E-3</v>
      </c>
      <c r="BS5" s="21">
        <f t="shared" ref="BS5:BS20" si="44">SUM(BT5:BW5)</f>
        <v>1.1901681181103481</v>
      </c>
      <c r="BT5" s="21">
        <f t="shared" si="28"/>
        <v>0.67615598381396314</v>
      </c>
      <c r="BU5" s="21">
        <f t="shared" si="29"/>
        <v>-5.1157174590020178E-2</v>
      </c>
      <c r="BV5" s="21">
        <f t="shared" si="30"/>
        <v>0.85685587688710418</v>
      </c>
      <c r="BW5" s="21">
        <f t="shared" si="31"/>
        <v>-0.29168656800069909</v>
      </c>
      <c r="BY5" s="21">
        <f t="shared" ref="BY5:BY20" si="45">SUM(BZ5:CC5)</f>
        <v>-0.94070143655441441</v>
      </c>
      <c r="BZ5" s="21">
        <f t="shared" si="32"/>
        <v>0.98855334079801516</v>
      </c>
      <c r="CA5" s="21">
        <f t="shared" si="33"/>
        <v>1.7825662430825815</v>
      </c>
      <c r="CB5" s="21">
        <f t="shared" si="34"/>
        <v>-2.6653343080089487</v>
      </c>
      <c r="CC5" s="21">
        <f t="shared" si="35"/>
        <v>-1.0464867124260626</v>
      </c>
      <c r="CE5" s="21">
        <f t="shared" ref="CE5:CE19" si="46">SUM(CF5:CI5)</f>
        <v>2.3382572929405661</v>
      </c>
      <c r="CF5" s="21">
        <f t="shared" si="36"/>
        <v>-0.24686674629923938</v>
      </c>
      <c r="CG5" s="21">
        <f t="shared" si="37"/>
        <v>0.44668372807955764</v>
      </c>
      <c r="CH5" s="21">
        <f t="shared" si="38"/>
        <v>2.1454395749854909</v>
      </c>
      <c r="CI5" s="21">
        <f t="shared" si="39"/>
        <v>-6.9992638252427981E-3</v>
      </c>
      <c r="CN5" s="38"/>
      <c r="CO5" s="39" t="s">
        <v>167</v>
      </c>
      <c r="CP5" s="39" t="s">
        <v>168</v>
      </c>
      <c r="CQ5" s="39" t="s">
        <v>169</v>
      </c>
      <c r="CR5" s="39" t="s">
        <v>170</v>
      </c>
      <c r="CS5" s="39" t="s">
        <v>171</v>
      </c>
      <c r="CT5" s="25"/>
      <c r="CU5" s="25"/>
      <c r="CV5" s="25"/>
      <c r="CW5" s="25"/>
      <c r="CX5" s="25"/>
      <c r="CY5" s="25"/>
    </row>
    <row r="6" spans="1:103">
      <c r="A6" s="30">
        <v>1998</v>
      </c>
      <c r="B6" s="63">
        <f t="shared" si="40"/>
        <v>336188</v>
      </c>
      <c r="C6" s="64">
        <f>NFA_in_yen!C6</f>
        <v>31216</v>
      </c>
      <c r="D6" s="64">
        <f>NFA_in_yen!D6</f>
        <v>24207</v>
      </c>
      <c r="E6" s="65">
        <f>NFA_in_yen!E6</f>
        <v>103513</v>
      </c>
      <c r="F6" s="63">
        <f t="shared" si="41"/>
        <v>128375</v>
      </c>
      <c r="G6" s="65">
        <f>NFA_in_yen!G6</f>
        <v>152390</v>
      </c>
      <c r="H6" s="64">
        <f>NFA_in_yen!H6</f>
        <v>24862</v>
      </c>
      <c r="I6" s="63">
        <f t="shared" si="42"/>
        <v>202979</v>
      </c>
      <c r="J6" s="64">
        <f>NFA_in_yen!J6</f>
        <v>3013</v>
      </c>
      <c r="K6" s="64">
        <f>NFA_in_yen!K6</f>
        <v>34913</v>
      </c>
      <c r="L6" s="65">
        <f>NFA_in_yen!L6</f>
        <v>41421</v>
      </c>
      <c r="M6" s="65">
        <f>NFA_in_yen!N6</f>
        <v>123632</v>
      </c>
      <c r="N6" s="34"/>
      <c r="O6" s="21">
        <f t="shared" si="0"/>
        <v>9.2852808547598364E-2</v>
      </c>
      <c r="P6" s="21">
        <f t="shared" si="1"/>
        <v>7.2004354706295293E-2</v>
      </c>
      <c r="Q6" s="21">
        <f t="shared" si="2"/>
        <v>0.38185479553107188</v>
      </c>
      <c r="R6" s="21">
        <f t="shared" si="3"/>
        <v>0.45328804121503447</v>
      </c>
      <c r="S6" s="21">
        <f t="shared" si="4"/>
        <v>1.4843900107892934E-2</v>
      </c>
      <c r="T6" s="21">
        <f t="shared" si="5"/>
        <v>0.172003015090231</v>
      </c>
      <c r="U6" s="21">
        <f t="shared" si="6"/>
        <v>0.20406544519383779</v>
      </c>
      <c r="V6" s="21">
        <f t="shared" si="7"/>
        <v>0.60908763960803824</v>
      </c>
      <c r="X6" s="11">
        <f>Balance_on_income!C6</f>
        <v>1623.1</v>
      </c>
      <c r="Y6" s="11">
        <f>Balance_on_income!D6</f>
        <v>752.5</v>
      </c>
      <c r="Z6" s="11">
        <f>Balance_on_income!E6</f>
        <v>6201.7</v>
      </c>
      <c r="AA6" s="11">
        <f>Balance_on_income!F6</f>
        <v>4522.1000000000004</v>
      </c>
      <c r="AB6" s="11">
        <f>Balance_on_income!H6</f>
        <v>325.3</v>
      </c>
      <c r="AC6" s="11">
        <f>Balance_on_income!I6</f>
        <v>223.5</v>
      </c>
      <c r="AD6" s="11">
        <f>Balance_on_income!J6</f>
        <v>1454.3</v>
      </c>
      <c r="AE6" s="11">
        <f>Balance_on_income!K6</f>
        <v>3954.1</v>
      </c>
      <c r="AG6" s="26">
        <f>'Stock-flow'!O6</f>
        <v>-7279.5</v>
      </c>
      <c r="AH6" s="26">
        <f>'Stock-flow'!Z6</f>
        <v>1721.2</v>
      </c>
      <c r="AI6" s="26">
        <f>'Stock-flow'!AK6</f>
        <v>-8510.7999999999993</v>
      </c>
      <c r="AJ6" s="26">
        <f>'Stock-flow'!BE6+'Stock-flow'!AK6</f>
        <v>-11343.21</v>
      </c>
      <c r="AK6" s="26">
        <f>'Stock-flow'!AV6</f>
        <v>-1976</v>
      </c>
      <c r="AL6" s="26">
        <f>'Stock-flow'!BE6</f>
        <v>-2832.41</v>
      </c>
      <c r="AM6" s="26">
        <f>'Stock-flow'!P6</f>
        <v>-923.9</v>
      </c>
      <c r="AN6" s="26">
        <f>'Stock-flow'!AA6</f>
        <v>-2950.8</v>
      </c>
      <c r="AO6" s="26">
        <f>'Stock-flow'!AL6</f>
        <v>-4610.7</v>
      </c>
      <c r="AP6" s="26">
        <f>'Stock-flow'!AW6</f>
        <v>-4799.5</v>
      </c>
      <c r="AQ6" s="26"/>
      <c r="AR6" s="8">
        <f>yield!M6</f>
        <v>0.66326943298518903</v>
      </c>
      <c r="AS6" s="26"/>
      <c r="AU6" s="21">
        <f t="shared" si="8"/>
        <v>3.904426274726136E-2</v>
      </c>
      <c r="AV6" s="21">
        <f t="shared" si="9"/>
        <v>2.9637894012553678E-2</v>
      </c>
      <c r="AW6" s="21">
        <f t="shared" si="10"/>
        <v>4.0856442442444685E-2</v>
      </c>
      <c r="AX6" s="21">
        <f t="shared" si="11"/>
        <v>2.1464938789485188E-2</v>
      </c>
      <c r="AY6" s="21">
        <f t="shared" si="12"/>
        <v>8.5242949626270548E-2</v>
      </c>
      <c r="AZ6" s="21">
        <f t="shared" si="13"/>
        <v>-4.2772615090480581E-4</v>
      </c>
      <c r="BA6" s="21">
        <f t="shared" si="14"/>
        <v>2.8697941893482293E-2</v>
      </c>
      <c r="BB6" s="21">
        <f t="shared" si="15"/>
        <v>2.1287683064977969E-2</v>
      </c>
      <c r="BD6" s="21">
        <f t="shared" si="16"/>
        <v>-0.21125122725422052</v>
      </c>
      <c r="BE6" s="21">
        <f t="shared" si="17"/>
        <v>7.6273088772575326E-2</v>
      </c>
      <c r="BF6" s="21">
        <f t="shared" si="18"/>
        <v>-9.3368990831374066E-2</v>
      </c>
      <c r="BG6" s="21">
        <f t="shared" si="19"/>
        <v>-1.8847580797136221E-2</v>
      </c>
      <c r="BH6" s="21">
        <f t="shared" si="20"/>
        <v>-0.26740525490332834</v>
      </c>
      <c r="BI6" s="21">
        <f t="shared" si="21"/>
        <v>-8.7934235310688669E-2</v>
      </c>
      <c r="BJ6" s="21">
        <f t="shared" si="22"/>
        <v>-0.11846237675658788</v>
      </c>
      <c r="BK6" s="21">
        <f t="shared" si="23"/>
        <v>-4.0425793838074098E-2</v>
      </c>
      <c r="BM6" s="21">
        <f t="shared" si="43"/>
        <v>0.41204163699744512</v>
      </c>
      <c r="BN6" s="21">
        <f t="shared" si="24"/>
        <v>-0.2726410923489957</v>
      </c>
      <c r="BO6" s="21">
        <f t="shared" si="25"/>
        <v>0.33434131266646144</v>
      </c>
      <c r="BP6" s="21">
        <f t="shared" si="26"/>
        <v>0.34059857024733942</v>
      </c>
      <c r="BQ6" s="21">
        <f t="shared" si="27"/>
        <v>9.7428464326399303E-3</v>
      </c>
      <c r="BS6" s="21">
        <f t="shared" si="44"/>
        <v>0.67659296717195083</v>
      </c>
      <c r="BT6" s="21">
        <f t="shared" si="28"/>
        <v>0.53593827703200092</v>
      </c>
      <c r="BU6" s="21">
        <f t="shared" si="29"/>
        <v>-0.15059795176280746</v>
      </c>
      <c r="BV6" s="21">
        <f t="shared" si="30"/>
        <v>0.66224824147609207</v>
      </c>
      <c r="BW6" s="21">
        <f t="shared" si="31"/>
        <v>-0.37099559957333472</v>
      </c>
      <c r="BY6" s="21">
        <f t="shared" si="45"/>
        <v>4.0464322125668772</v>
      </c>
      <c r="BZ6" s="21">
        <f t="shared" si="32"/>
        <v>0.3313924371518156</v>
      </c>
      <c r="CA6" s="21">
        <f t="shared" si="33"/>
        <v>1.8260488885631612</v>
      </c>
      <c r="CB6" s="21">
        <f t="shared" si="34"/>
        <v>0.70294616794024978</v>
      </c>
      <c r="CC6" s="21">
        <f t="shared" si="35"/>
        <v>1.1860447189116514</v>
      </c>
      <c r="CE6" s="21">
        <f t="shared" si="46"/>
        <v>-3.5064433126822658</v>
      </c>
      <c r="CF6" s="21">
        <f t="shared" si="36"/>
        <v>-2.0640122619110723</v>
      </c>
      <c r="CG6" s="21">
        <f t="shared" si="37"/>
        <v>6.0121009648545401E-2</v>
      </c>
      <c r="CH6" s="21">
        <f t="shared" si="38"/>
        <v>-2.0169102496410418</v>
      </c>
      <c r="CI6" s="21">
        <f t="shared" si="39"/>
        <v>0.51435818922130228</v>
      </c>
      <c r="CN6" s="38" t="s">
        <v>172</v>
      </c>
      <c r="CO6" s="40">
        <f>BM23+BY23</f>
        <v>1.4108877083551741</v>
      </c>
      <c r="CP6" s="40">
        <f>BN23+BZ23</f>
        <v>-0.28002374422312298</v>
      </c>
      <c r="CQ6" s="40">
        <f>BO23+CA23</f>
        <v>0.69231357140871208</v>
      </c>
      <c r="CR6" s="40">
        <f>BP23+CB23</f>
        <v>1.5084028761206083</v>
      </c>
      <c r="CS6" s="40">
        <f>BQ23+CC23</f>
        <v>-0.50980499495102294</v>
      </c>
      <c r="CT6" s="29"/>
      <c r="CU6" s="25"/>
      <c r="CV6" s="25"/>
      <c r="CW6" s="25"/>
      <c r="CX6" s="25"/>
      <c r="CY6" s="25"/>
    </row>
    <row r="7" spans="1:103">
      <c r="A7" s="30">
        <v>1999</v>
      </c>
      <c r="B7" s="63">
        <f t="shared" si="40"/>
        <v>303159</v>
      </c>
      <c r="C7" s="64">
        <f>NFA_in_yen!C7</f>
        <v>25425</v>
      </c>
      <c r="D7" s="64">
        <f>NFA_in_yen!D7</f>
        <v>29170</v>
      </c>
      <c r="E7" s="65">
        <f>NFA_in_yen!E7</f>
        <v>102518</v>
      </c>
      <c r="F7" s="63">
        <f t="shared" si="41"/>
        <v>131916</v>
      </c>
      <c r="G7" s="65">
        <f>NFA_in_yen!G7</f>
        <v>116648</v>
      </c>
      <c r="H7" s="64">
        <f>NFA_in_yen!H7</f>
        <v>29398</v>
      </c>
      <c r="I7" s="63">
        <f t="shared" si="42"/>
        <v>218562</v>
      </c>
      <c r="J7" s="64">
        <f>NFA_in_yen!J7</f>
        <v>4713</v>
      </c>
      <c r="K7" s="64">
        <f>NFA_in_yen!K7</f>
        <v>84414</v>
      </c>
      <c r="L7" s="65">
        <f>NFA_in_yen!L7</f>
        <v>33978</v>
      </c>
      <c r="M7" s="65">
        <f>NFA_in_yen!N7</f>
        <v>95457</v>
      </c>
      <c r="N7" s="34"/>
      <c r="O7" s="21">
        <f t="shared" si="0"/>
        <v>8.3866881735327012E-2</v>
      </c>
      <c r="P7" s="21">
        <f t="shared" si="1"/>
        <v>9.622013530853446E-2</v>
      </c>
      <c r="Q7" s="21">
        <f t="shared" si="2"/>
        <v>0.43513799689271965</v>
      </c>
      <c r="R7" s="21">
        <f t="shared" si="3"/>
        <v>0.38477498606341887</v>
      </c>
      <c r="S7" s="21">
        <f t="shared" si="4"/>
        <v>2.1563675295797075E-2</v>
      </c>
      <c r="T7" s="21">
        <f t="shared" si="5"/>
        <v>0.38622450380212481</v>
      </c>
      <c r="U7" s="21">
        <f t="shared" si="6"/>
        <v>0.15546160814780247</v>
      </c>
      <c r="V7" s="21">
        <f t="shared" si="7"/>
        <v>0.43675021275427567</v>
      </c>
      <c r="X7" s="11">
        <f>Balance_on_income!C7</f>
        <v>703.6</v>
      </c>
      <c r="Y7" s="11">
        <f>Balance_on_income!D7</f>
        <v>768.5</v>
      </c>
      <c r="Z7" s="11">
        <f>Balance_on_income!E7</f>
        <v>5475.9</v>
      </c>
      <c r="AA7" s="11">
        <f>Balance_on_income!F7</f>
        <v>3525.9</v>
      </c>
      <c r="AB7" s="11">
        <f>Balance_on_income!H7</f>
        <v>269.2</v>
      </c>
      <c r="AC7" s="11">
        <f>Balance_on_income!I7</f>
        <v>173.7</v>
      </c>
      <c r="AD7" s="11">
        <f>Balance_on_income!J7</f>
        <v>1134.2</v>
      </c>
      <c r="AE7" s="11">
        <f>Balance_on_income!K7</f>
        <v>2326.6</v>
      </c>
      <c r="AG7" s="26">
        <f>'Stock-flow'!O7</f>
        <v>-8381.7999999999993</v>
      </c>
      <c r="AH7" s="26">
        <f>'Stock-flow'!Z7</f>
        <v>1319.1</v>
      </c>
      <c r="AI7" s="26">
        <f>'Stock-flow'!AK7</f>
        <v>-14841.3</v>
      </c>
      <c r="AJ7" s="26">
        <f>'Stock-flow'!BE7+'Stock-flow'!AK7</f>
        <v>-19101.559999999998</v>
      </c>
      <c r="AK7" s="26">
        <f>'Stock-flow'!AV7</f>
        <v>-3835.0999999999985</v>
      </c>
      <c r="AL7" s="26">
        <f>'Stock-flow'!BE7</f>
        <v>-4260.26</v>
      </c>
      <c r="AM7" s="26">
        <f>'Stock-flow'!P7</f>
        <v>248.59999999999991</v>
      </c>
      <c r="AN7" s="26">
        <f>'Stock-flow'!AA7</f>
        <v>37771.599999999999</v>
      </c>
      <c r="AO7" s="26">
        <f>'Stock-flow'!AL7</f>
        <v>-10201.799999999999</v>
      </c>
      <c r="AP7" s="26">
        <f>'Stock-flow'!AW7</f>
        <v>3625.4000000000015</v>
      </c>
      <c r="AQ7" s="26"/>
      <c r="AR7" s="8">
        <f>yield!M7</f>
        <v>-0.32944957814319398</v>
      </c>
      <c r="AS7" s="26"/>
      <c r="AU7" s="21">
        <f t="shared" si="8"/>
        <v>2.5919611049553204E-2</v>
      </c>
      <c r="AV7" s="21">
        <f t="shared" si="9"/>
        <v>3.5157336805369033E-2</v>
      </c>
      <c r="AW7" s="21">
        <f t="shared" si="10"/>
        <v>4.6101879690152003E-2</v>
      </c>
      <c r="AX7" s="21">
        <f t="shared" si="11"/>
        <v>2.6519208171020603E-2</v>
      </c>
      <c r="AY7" s="21">
        <f t="shared" si="12"/>
        <v>9.2946875481955349E-2</v>
      </c>
      <c r="AZ7" s="21">
        <f t="shared" si="13"/>
        <v>8.2970545210980795E-3</v>
      </c>
      <c r="BA7" s="21">
        <f t="shared" si="14"/>
        <v>3.0778139954442008E-2</v>
      </c>
      <c r="BB7" s="21">
        <f t="shared" si="15"/>
        <v>2.218634101486705E-2</v>
      </c>
      <c r="BD7" s="21">
        <f t="shared" si="16"/>
        <v>-0.26609188139488871</v>
      </c>
      <c r="BE7" s="21">
        <f t="shared" si="17"/>
        <v>5.7978006247223268E-2</v>
      </c>
      <c r="BF7" s="21">
        <f t="shared" si="18"/>
        <v>-0.14598145410894481</v>
      </c>
      <c r="BG7" s="21">
        <f t="shared" si="19"/>
        <v>-2.1944148621627746E-2</v>
      </c>
      <c r="BH7" s="21">
        <f t="shared" si="20"/>
        <v>8.6087236936184697E-2</v>
      </c>
      <c r="BI7" s="21">
        <f t="shared" si="21"/>
        <v>1.0887592189930717</v>
      </c>
      <c r="BJ7" s="21">
        <f t="shared" si="22"/>
        <v>-0.24380407313640373</v>
      </c>
      <c r="BK7" s="21">
        <f t="shared" si="23"/>
        <v>3.2726436091424782E-2</v>
      </c>
      <c r="BM7" s="21">
        <f t="shared" si="43"/>
        <v>0.64585565161569125</v>
      </c>
      <c r="BN7" s="21">
        <f t="shared" si="24"/>
        <v>-0.36093078847754939</v>
      </c>
      <c r="BO7" s="21">
        <f t="shared" si="25"/>
        <v>0.32770534160885934</v>
      </c>
      <c r="BP7" s="21">
        <f t="shared" si="26"/>
        <v>0.44892446373765327</v>
      </c>
      <c r="BQ7" s="21">
        <f t="shared" si="27"/>
        <v>0.23015663474672804</v>
      </c>
      <c r="BS7" s="21">
        <f t="shared" si="44"/>
        <v>0.55037038438970387</v>
      </c>
      <c r="BT7" s="21">
        <f t="shared" si="28"/>
        <v>0.46363224321929647</v>
      </c>
      <c r="BU7" s="21">
        <f t="shared" si="29"/>
        <v>-0.21726904602230129</v>
      </c>
      <c r="BV7" s="21">
        <f t="shared" si="30"/>
        <v>0.68342243732630814</v>
      </c>
      <c r="BW7" s="21">
        <f t="shared" si="31"/>
        <v>-0.37941525013359945</v>
      </c>
      <c r="BY7" s="21">
        <f t="shared" si="45"/>
        <v>-14.510559581292615</v>
      </c>
      <c r="BZ7" s="21">
        <f t="shared" si="32"/>
        <v>-1.8964265950724706</v>
      </c>
      <c r="CA7" s="21">
        <f t="shared" si="33"/>
        <v>-12.575910627889403</v>
      </c>
      <c r="CB7" s="21">
        <f t="shared" si="34"/>
        <v>2.8658126244454931</v>
      </c>
      <c r="CC7" s="21">
        <f t="shared" si="35"/>
        <v>-2.9040349827762322</v>
      </c>
      <c r="CE7" s="21">
        <f t="shared" si="46"/>
        <v>-9.984687194104044</v>
      </c>
      <c r="CF7" s="21">
        <f t="shared" si="36"/>
        <v>-0.70209829141503854</v>
      </c>
      <c r="CG7" s="21">
        <f t="shared" si="37"/>
        <v>-5.7336093168210516</v>
      </c>
      <c r="CH7" s="21">
        <f t="shared" si="38"/>
        <v>-3.4649857829903388</v>
      </c>
      <c r="CI7" s="21">
        <f t="shared" si="39"/>
        <v>-8.3993802877614751E-2</v>
      </c>
      <c r="CN7" s="38" t="s">
        <v>173</v>
      </c>
      <c r="CO7" s="40">
        <f>BS23+CE23</f>
        <v>-0.36038227171544462</v>
      </c>
      <c r="CP7" s="40">
        <f>BT23+CF23</f>
        <v>0.41748262413638171</v>
      </c>
      <c r="CQ7" s="40">
        <f>BU23+CG23</f>
        <v>-1.0962328063351277</v>
      </c>
      <c r="CR7" s="40">
        <f>BV23+CH23</f>
        <v>0.79936993231128006</v>
      </c>
      <c r="CS7" s="40">
        <f>BW23+CI23</f>
        <v>-0.4810020218279788</v>
      </c>
      <c r="CT7" s="29"/>
      <c r="CU7" s="25"/>
      <c r="CV7" s="25"/>
      <c r="CW7" s="25"/>
      <c r="CX7" s="25"/>
      <c r="CY7" s="25"/>
    </row>
    <row r="8" spans="1:103">
      <c r="A8" s="30">
        <v>2000</v>
      </c>
      <c r="B8" s="63">
        <f t="shared" si="40"/>
        <v>340825</v>
      </c>
      <c r="C8" s="64">
        <f>NFA_in_yen!C8</f>
        <v>31993</v>
      </c>
      <c r="D8" s="64">
        <f>NFA_in_yen!D8</f>
        <v>30133</v>
      </c>
      <c r="E8" s="65">
        <f>NFA_in_yen!E8</f>
        <v>119982</v>
      </c>
      <c r="F8" s="63">
        <f t="shared" si="41"/>
        <v>161460</v>
      </c>
      <c r="G8" s="65">
        <f>NFA_in_yen!G8</f>
        <v>117239</v>
      </c>
      <c r="H8" s="64">
        <f>NFA_in_yen!H8</f>
        <v>41478</v>
      </c>
      <c r="I8" s="63">
        <f t="shared" si="42"/>
        <v>207793</v>
      </c>
      <c r="J8" s="64">
        <f>NFA_in_yen!J8</f>
        <v>5782</v>
      </c>
      <c r="K8" s="64">
        <f>NFA_in_yen!K8</f>
        <v>63222</v>
      </c>
      <c r="L8" s="65">
        <f>NFA_in_yen!L8</f>
        <v>38387</v>
      </c>
      <c r="M8" s="65">
        <f>NFA_in_yen!N8</f>
        <v>100402</v>
      </c>
      <c r="N8" s="34"/>
      <c r="O8" s="21">
        <f t="shared" si="0"/>
        <v>9.3869287757646885E-2</v>
      </c>
      <c r="P8" s="21">
        <f t="shared" si="1"/>
        <v>8.8411941612264358E-2</v>
      </c>
      <c r="Q8" s="21">
        <f t="shared" si="2"/>
        <v>0.47373285410401234</v>
      </c>
      <c r="R8" s="21">
        <f t="shared" si="3"/>
        <v>0.34398591652607641</v>
      </c>
      <c r="S8" s="21">
        <f t="shared" si="4"/>
        <v>2.7825768914256015E-2</v>
      </c>
      <c r="T8" s="21">
        <f t="shared" si="5"/>
        <v>0.30425471502889895</v>
      </c>
      <c r="U8" s="21">
        <f t="shared" si="6"/>
        <v>0.18473673319120471</v>
      </c>
      <c r="V8" s="21">
        <f t="shared" si="7"/>
        <v>0.48318278286564031</v>
      </c>
      <c r="X8" s="11">
        <f>Balance_on_income!C8</f>
        <v>890.5</v>
      </c>
      <c r="Y8" s="11">
        <f>Balance_on_income!D8</f>
        <v>794.6</v>
      </c>
      <c r="Z8" s="11">
        <f>Balance_on_income!E8</f>
        <v>5813.8</v>
      </c>
      <c r="AA8" s="11">
        <f>Balance_on_income!F8</f>
        <v>2944.4</v>
      </c>
      <c r="AB8" s="11">
        <f>Balance_on_income!H8</f>
        <v>282.60000000000002</v>
      </c>
      <c r="AC8" s="11">
        <f>Balance_on_income!I8</f>
        <v>301.60000000000002</v>
      </c>
      <c r="AD8" s="11">
        <f>Balance_on_income!J8</f>
        <v>1194.5</v>
      </c>
      <c r="AE8" s="11">
        <f>Balance_on_income!K8</f>
        <v>2159.3000000000002</v>
      </c>
      <c r="AG8" s="26">
        <f>'Stock-flow'!O8</f>
        <v>3167.3</v>
      </c>
      <c r="AH8" s="26">
        <f>'Stock-flow'!Z8</f>
        <v>-1176.5999999999999</v>
      </c>
      <c r="AI8" s="26">
        <f>'Stock-flow'!AK8</f>
        <v>10676.4</v>
      </c>
      <c r="AJ8" s="26">
        <f>'Stock-flow'!BE8+'Stock-flow'!AK8</f>
        <v>17495.48</v>
      </c>
      <c r="AK8" s="26">
        <f>'Stock-flow'!AV8</f>
        <v>-48.899999999999977</v>
      </c>
      <c r="AL8" s="26">
        <f>'Stock-flow'!BE8</f>
        <v>6819.08</v>
      </c>
      <c r="AM8" s="26">
        <f>'Stock-flow'!P8</f>
        <v>172.10000000000002</v>
      </c>
      <c r="AN8" s="26">
        <f>'Stock-flow'!AA8</f>
        <v>-21073.599999999999</v>
      </c>
      <c r="AO8" s="26">
        <f>'Stock-flow'!AL8</f>
        <v>-789.80000000000018</v>
      </c>
      <c r="AP8" s="26">
        <f>'Stock-flow'!AW8</f>
        <v>5874</v>
      </c>
      <c r="AQ8" s="26"/>
      <c r="AR8" s="8">
        <f>yield!M8</f>
        <v>-0.65301515640115204</v>
      </c>
      <c r="AS8" s="26"/>
      <c r="AU8" s="21">
        <f t="shared" si="8"/>
        <v>4.1827876038370793E-2</v>
      </c>
      <c r="AV8" s="21">
        <f t="shared" si="9"/>
        <v>3.3992442759790409E-2</v>
      </c>
      <c r="AW8" s="21">
        <f t="shared" si="10"/>
        <v>5.0934748393601126E-2</v>
      </c>
      <c r="AX8" s="21">
        <f t="shared" si="11"/>
        <v>3.1980743633255315E-2</v>
      </c>
      <c r="AY8" s="21">
        <f t="shared" si="12"/>
        <v>6.6929015947935877E-2</v>
      </c>
      <c r="AZ8" s="21">
        <f t="shared" si="13"/>
        <v>1.01694265204757E-2</v>
      </c>
      <c r="BA8" s="21">
        <f t="shared" si="14"/>
        <v>4.1959252199442298E-2</v>
      </c>
      <c r="BB8" s="21">
        <f t="shared" si="15"/>
        <v>2.9342418424795902E-2</v>
      </c>
      <c r="BD8" s="21">
        <f t="shared" si="16"/>
        <v>0.13196614846960575</v>
      </c>
      <c r="BE8" s="21">
        <f t="shared" si="17"/>
        <v>-3.4028018156360473E-2</v>
      </c>
      <c r="BF8" s="21">
        <f t="shared" si="18"/>
        <v>0.14007074823978249</v>
      </c>
      <c r="BG8" s="21">
        <f t="shared" si="19"/>
        <v>6.1511093093566949E-3</v>
      </c>
      <c r="BH8" s="21">
        <f t="shared" si="20"/>
        <v>4.3329116784222466E-2</v>
      </c>
      <c r="BI8" s="21">
        <f t="shared" si="21"/>
        <v>-0.24471365907132181</v>
      </c>
      <c r="BJ8" s="21">
        <f t="shared" si="22"/>
        <v>-1.6824165076536168E-2</v>
      </c>
      <c r="BK8" s="21">
        <f t="shared" si="23"/>
        <v>6.8513113090774791E-2</v>
      </c>
      <c r="BM8" s="21">
        <f t="shared" si="43"/>
        <v>0.81576172290300997</v>
      </c>
      <c r="BN8" s="21">
        <f t="shared" si="24"/>
        <v>-0.13232135813908133</v>
      </c>
      <c r="BO8" s="21">
        <f t="shared" si="25"/>
        <v>0.57466432360517794</v>
      </c>
      <c r="BP8" s="21">
        <f t="shared" si="26"/>
        <v>0.26504622536564559</v>
      </c>
      <c r="BQ8" s="21">
        <f t="shared" si="27"/>
        <v>0.10837253207126776</v>
      </c>
      <c r="BS8" s="21">
        <f t="shared" si="44"/>
        <v>0.83808707267938409</v>
      </c>
      <c r="BT8" s="21">
        <f t="shared" si="28"/>
        <v>0.33879515465722621</v>
      </c>
      <c r="BU8" s="21">
        <f t="shared" si="29"/>
        <v>-0.64035675060600306</v>
      </c>
      <c r="BV8" s="21">
        <f t="shared" si="30"/>
        <v>1.299012931096529</v>
      </c>
      <c r="BW8" s="21">
        <f t="shared" si="31"/>
        <v>-0.15936426246836805</v>
      </c>
      <c r="BY8" s="21">
        <f t="shared" si="45"/>
        <v>7.6209662951738633</v>
      </c>
      <c r="BZ8" s="21">
        <f t="shared" si="32"/>
        <v>0.46725258120876767</v>
      </c>
      <c r="CA8" s="21">
        <f t="shared" si="33"/>
        <v>5.0822078998508236</v>
      </c>
      <c r="CB8" s="21">
        <f t="shared" si="34"/>
        <v>4.6331036918742381</v>
      </c>
      <c r="CC8" s="21">
        <f t="shared" si="35"/>
        <v>-2.5615978777599664</v>
      </c>
      <c r="CE8" s="21">
        <f t="shared" si="46"/>
        <v>6.1173115297771545</v>
      </c>
      <c r="CF8" s="21">
        <f t="shared" si="36"/>
        <v>0.54607285494907098</v>
      </c>
      <c r="CG8" s="21">
        <f t="shared" si="37"/>
        <v>4.0418152038629103</v>
      </c>
      <c r="CH8" s="21">
        <f t="shared" si="38"/>
        <v>1.7234579652123421</v>
      </c>
      <c r="CI8" s="21">
        <f t="shared" si="39"/>
        <v>-0.19403449424716912</v>
      </c>
      <c r="CN8" s="25"/>
      <c r="CO8" s="25"/>
      <c r="CP8" s="25"/>
      <c r="CQ8" s="25"/>
      <c r="CR8" s="25"/>
      <c r="CS8" s="25"/>
      <c r="CT8" s="25"/>
      <c r="CU8" s="25"/>
      <c r="CV8" s="25"/>
      <c r="CW8" s="25"/>
      <c r="CX8" s="25"/>
      <c r="CY8" s="25"/>
    </row>
    <row r="9" spans="1:103">
      <c r="A9" s="30">
        <v>2001</v>
      </c>
      <c r="B9" s="63">
        <f t="shared" si="40"/>
        <v>379386</v>
      </c>
      <c r="C9" s="64">
        <f>NFA_in_yen!C9</f>
        <v>39555</v>
      </c>
      <c r="D9" s="64">
        <f>NFA_in_yen!D9</f>
        <v>29965</v>
      </c>
      <c r="E9" s="65">
        <f>NFA_in_yen!E9</f>
        <v>140025</v>
      </c>
      <c r="F9" s="63">
        <f t="shared" si="41"/>
        <v>192797</v>
      </c>
      <c r="G9" s="65">
        <f>NFA_in_yen!G9</f>
        <v>117069</v>
      </c>
      <c r="H9" s="64">
        <f>NFA_in_yen!H9</f>
        <v>52772</v>
      </c>
      <c r="I9" s="63">
        <f t="shared" si="42"/>
        <v>200057</v>
      </c>
      <c r="J9" s="64">
        <f>NFA_in_yen!J9</f>
        <v>6632</v>
      </c>
      <c r="K9" s="64">
        <f>NFA_in_yen!K9</f>
        <v>49563</v>
      </c>
      <c r="L9" s="65">
        <f>NFA_in_yen!L9</f>
        <v>38189</v>
      </c>
      <c r="M9" s="65">
        <f>NFA_in_yen!N9</f>
        <v>105673</v>
      </c>
      <c r="N9" s="34"/>
      <c r="O9" s="21">
        <f t="shared" si="0"/>
        <v>0.10426056839208617</v>
      </c>
      <c r="P9" s="21">
        <f t="shared" si="1"/>
        <v>7.8982882868635113E-2</v>
      </c>
      <c r="Q9" s="21">
        <f t="shared" si="2"/>
        <v>0.50818164086181361</v>
      </c>
      <c r="R9" s="21">
        <f t="shared" si="3"/>
        <v>0.30857490787746517</v>
      </c>
      <c r="S9" s="21">
        <f t="shared" si="4"/>
        <v>3.3150552092653593E-2</v>
      </c>
      <c r="T9" s="21">
        <f t="shared" si="5"/>
        <v>0.24774439284803831</v>
      </c>
      <c r="U9" s="21">
        <f t="shared" si="6"/>
        <v>0.19089059618008866</v>
      </c>
      <c r="V9" s="21">
        <f t="shared" si="7"/>
        <v>0.52821445887921947</v>
      </c>
      <c r="X9" s="11">
        <f>Balance_on_income!C9</f>
        <v>2044.7</v>
      </c>
      <c r="Y9" s="11">
        <f>Balance_on_income!D9</f>
        <v>877</v>
      </c>
      <c r="Z9" s="11">
        <f>Balance_on_income!E9</f>
        <v>6786.2</v>
      </c>
      <c r="AA9" s="11">
        <f>Balance_on_income!F9</f>
        <v>2780.7</v>
      </c>
      <c r="AB9" s="11">
        <f>Balance_on_income!H9</f>
        <v>501.3</v>
      </c>
      <c r="AC9" s="11">
        <f>Balance_on_income!I9</f>
        <v>325</v>
      </c>
      <c r="AD9" s="11">
        <f>Balance_on_income!J9</f>
        <v>1111.5</v>
      </c>
      <c r="AE9" s="11">
        <f>Balance_on_income!K9</f>
        <v>2145</v>
      </c>
      <c r="AG9" s="26">
        <f>'Stock-flow'!O9</f>
        <v>2903.3999999999996</v>
      </c>
      <c r="AH9" s="26">
        <f>'Stock-flow'!Z9</f>
        <v>-1570.2</v>
      </c>
      <c r="AI9" s="26">
        <f>'Stock-flow'!AK9</f>
        <v>8377.6</v>
      </c>
      <c r="AJ9" s="26">
        <f>'Stock-flow'!BE9+'Stock-flow'!AK9</f>
        <v>14735.21</v>
      </c>
      <c r="AK9" s="26">
        <f>'Stock-flow'!AV9</f>
        <v>5443.1</v>
      </c>
      <c r="AL9" s="26">
        <f>'Stock-flow'!BE9</f>
        <v>6357.61</v>
      </c>
      <c r="AM9" s="26">
        <f>'Stock-flow'!P9</f>
        <v>91.299999999999955</v>
      </c>
      <c r="AN9" s="26">
        <f>'Stock-flow'!AA9</f>
        <v>-18443.8</v>
      </c>
      <c r="AO9" s="26">
        <f>'Stock-flow'!AL9</f>
        <v>-2851.5</v>
      </c>
      <c r="AP9" s="26">
        <f>'Stock-flow'!AW9</f>
        <v>7366.4</v>
      </c>
      <c r="AQ9" s="26"/>
      <c r="AR9" s="8">
        <f>yield!M9</f>
        <v>-0.80337580134707898</v>
      </c>
      <c r="AS9" s="26"/>
      <c r="AU9" s="21">
        <f t="shared" si="8"/>
        <v>7.2527280131059468E-2</v>
      </c>
      <c r="AV9" s="21">
        <f t="shared" si="9"/>
        <v>3.7438836819941201E-2</v>
      </c>
      <c r="AW9" s="21">
        <f t="shared" si="10"/>
        <v>5.0469441497675405E-2</v>
      </c>
      <c r="AX9" s="21">
        <f t="shared" si="11"/>
        <v>3.2009128238356332E-2</v>
      </c>
      <c r="AY9" s="21">
        <f t="shared" si="12"/>
        <v>9.5501094466760028E-2</v>
      </c>
      <c r="AZ9" s="21">
        <f t="shared" si="13"/>
        <v>1.3281070528749384E-2</v>
      </c>
      <c r="BA9" s="21">
        <f t="shared" si="14"/>
        <v>3.7288439324599798E-2</v>
      </c>
      <c r="BB9" s="21">
        <f t="shared" si="15"/>
        <v>2.9635962416687089E-2</v>
      </c>
      <c r="BD9" s="21">
        <f t="shared" si="16"/>
        <v>9.9584900811908517E-2</v>
      </c>
      <c r="BE9" s="21">
        <f t="shared" si="17"/>
        <v>-4.4432182898399897E-2</v>
      </c>
      <c r="BF9" s="21">
        <f t="shared" si="18"/>
        <v>0.10010023313017258</v>
      </c>
      <c r="BG9" s="21">
        <f t="shared" si="19"/>
        <v>5.4902212482208057E-2</v>
      </c>
      <c r="BH9" s="21">
        <f t="shared" si="20"/>
        <v>2.4017089448478135E-2</v>
      </c>
      <c r="BI9" s="21">
        <f t="shared" si="21"/>
        <v>-0.28599457988023902</v>
      </c>
      <c r="BJ9" s="21">
        <f t="shared" si="22"/>
        <v>-6.6785742860632435E-2</v>
      </c>
      <c r="BK9" s="21">
        <f t="shared" si="23"/>
        <v>8.2062081310096957E-2</v>
      </c>
      <c r="BM9" s="21">
        <f t="shared" si="43"/>
        <v>0.8666223615560753</v>
      </c>
      <c r="BN9" s="21">
        <f t="shared" si="24"/>
        <v>-0.13978998187764274</v>
      </c>
      <c r="BO9" s="21">
        <f t="shared" si="25"/>
        <v>0.47429746607404427</v>
      </c>
      <c r="BP9" s="21">
        <f t="shared" si="26"/>
        <v>0.43396445305212267</v>
      </c>
      <c r="BQ9" s="21">
        <f t="shared" si="27"/>
        <v>9.815042430755111E-2</v>
      </c>
      <c r="BS9" s="21">
        <f t="shared" si="44"/>
        <v>0.84652716735824662</v>
      </c>
      <c r="BT9" s="21">
        <f t="shared" si="28"/>
        <v>0.55485925619877152</v>
      </c>
      <c r="BU9" s="21">
        <f t="shared" si="29"/>
        <v>-0.54737627347880613</v>
      </c>
      <c r="BV9" s="21">
        <f t="shared" si="30"/>
        <v>1.2680843568583002</v>
      </c>
      <c r="BW9" s="21">
        <f t="shared" si="31"/>
        <v>-0.42904017222001894</v>
      </c>
      <c r="BY9" s="21">
        <f t="shared" si="45"/>
        <v>9.5736637120769466</v>
      </c>
      <c r="BZ9" s="21">
        <f t="shared" si="32"/>
        <v>0.45981145432221648</v>
      </c>
      <c r="CA9" s="21">
        <f t="shared" si="33"/>
        <v>4.7426749396542105</v>
      </c>
      <c r="CB9" s="21">
        <f t="shared" si="34"/>
        <v>5.4944669868012443</v>
      </c>
      <c r="CC9" s="21">
        <f t="shared" si="35"/>
        <v>-1.1232896687007246</v>
      </c>
      <c r="CE9" s="21">
        <f t="shared" si="46"/>
        <v>3.5023048611924308</v>
      </c>
      <c r="CF9" s="21">
        <f t="shared" si="36"/>
        <v>0.40815551864212296</v>
      </c>
      <c r="CG9" s="21">
        <f t="shared" si="37"/>
        <v>3.5660114444610915</v>
      </c>
      <c r="CH9" s="21">
        <f t="shared" si="38"/>
        <v>0.48138792290422877</v>
      </c>
      <c r="CI9" s="21">
        <f t="shared" si="39"/>
        <v>-0.95325002481501209</v>
      </c>
      <c r="CN9" s="25"/>
      <c r="CO9" s="25"/>
      <c r="CP9" s="25"/>
      <c r="CQ9" s="25"/>
      <c r="CR9" s="25"/>
      <c r="CS9" s="25"/>
      <c r="CT9" s="25"/>
      <c r="CU9" s="25"/>
      <c r="CV9" s="25"/>
      <c r="CW9" s="25"/>
      <c r="CX9" s="25"/>
      <c r="CY9" s="25"/>
    </row>
    <row r="10" spans="1:103">
      <c r="A10" s="30">
        <v>2002</v>
      </c>
      <c r="B10" s="63">
        <f t="shared" si="40"/>
        <v>365536</v>
      </c>
      <c r="C10" s="64">
        <f>NFA_in_yen!C10</f>
        <v>36478</v>
      </c>
      <c r="D10" s="64">
        <f>NFA_in_yen!D10</f>
        <v>25277</v>
      </c>
      <c r="E10" s="65">
        <f>NFA_in_yen!E10</f>
        <v>141926</v>
      </c>
      <c r="F10" s="63">
        <f t="shared" si="41"/>
        <v>197989</v>
      </c>
      <c r="G10" s="65">
        <f>NFA_in_yen!G10</f>
        <v>105792</v>
      </c>
      <c r="H10" s="64">
        <f>NFA_in_yen!H10</f>
        <v>56063</v>
      </c>
      <c r="I10" s="63">
        <f t="shared" si="42"/>
        <v>190186</v>
      </c>
      <c r="J10" s="64">
        <f>NFA_in_yen!J10</f>
        <v>9369</v>
      </c>
      <c r="K10" s="64">
        <f>NFA_in_yen!K10</f>
        <v>40757</v>
      </c>
      <c r="L10" s="65">
        <f>NFA_in_yen!L10</f>
        <v>32432</v>
      </c>
      <c r="M10" s="65">
        <f>NFA_in_yen!N10</f>
        <v>107628</v>
      </c>
      <c r="N10" s="34"/>
      <c r="O10" s="21">
        <f t="shared" si="0"/>
        <v>9.9793180425457415E-2</v>
      </c>
      <c r="P10" s="21">
        <f t="shared" si="1"/>
        <v>6.9150507747526915E-2</v>
      </c>
      <c r="Q10" s="21">
        <f t="shared" si="2"/>
        <v>0.54164022148297297</v>
      </c>
      <c r="R10" s="21">
        <f t="shared" si="3"/>
        <v>0.2894160903440427</v>
      </c>
      <c r="S10" s="21">
        <f t="shared" si="4"/>
        <v>4.9262301115749842E-2</v>
      </c>
      <c r="T10" s="21">
        <f t="shared" si="5"/>
        <v>0.21430073717308321</v>
      </c>
      <c r="U10" s="21">
        <f t="shared" si="6"/>
        <v>0.1705277991019318</v>
      </c>
      <c r="V10" s="21">
        <f t="shared" si="7"/>
        <v>0.56590916260923518</v>
      </c>
      <c r="X10" s="11">
        <f>Balance_on_income!C10</f>
        <v>2107</v>
      </c>
      <c r="Y10" s="11">
        <f>Balance_on_income!D10</f>
        <v>1066.4000000000001</v>
      </c>
      <c r="Z10" s="11">
        <f>Balance_on_income!E10</f>
        <v>6509.7</v>
      </c>
      <c r="AA10" s="11">
        <f>Balance_on_income!F10</f>
        <v>1779.7</v>
      </c>
      <c r="AB10" s="11">
        <f>Balance_on_income!H10</f>
        <v>663</v>
      </c>
      <c r="AC10" s="11">
        <f>Balance_on_income!I10</f>
        <v>310.5</v>
      </c>
      <c r="AD10" s="11">
        <f>Balance_on_income!J10</f>
        <v>920.1</v>
      </c>
      <c r="AE10" s="11">
        <f>Balance_on_income!K10</f>
        <v>1292</v>
      </c>
      <c r="AG10" s="26">
        <f>'Stock-flow'!O10</f>
        <v>-7124.6</v>
      </c>
      <c r="AH10" s="26">
        <f>'Stock-flow'!Z10</f>
        <v>-9321.2999999999993</v>
      </c>
      <c r="AI10" s="26">
        <f>'Stock-flow'!AK10</f>
        <v>-3628.2</v>
      </c>
      <c r="AJ10" s="26">
        <f>'Stock-flow'!BE10+'Stock-flow'!AK10</f>
        <v>-6134.1182956396997</v>
      </c>
      <c r="AK10" s="26">
        <f>'Stock-flow'!AV10</f>
        <v>-6446.1</v>
      </c>
      <c r="AL10" s="26">
        <f>'Stock-flow'!BE10</f>
        <v>-2505.9182956396999</v>
      </c>
      <c r="AM10" s="26">
        <f>'Stock-flow'!P10</f>
        <v>1578.4</v>
      </c>
      <c r="AN10" s="26">
        <f>'Stock-flow'!AA10</f>
        <v>-6743.1</v>
      </c>
      <c r="AO10" s="26">
        <f>'Stock-flow'!AL10</f>
        <v>-4833.5</v>
      </c>
      <c r="AP10" s="26">
        <f>'Stock-flow'!AW10</f>
        <v>-933.30000000000018</v>
      </c>
      <c r="AQ10" s="26"/>
      <c r="AR10" s="8">
        <f>yield!M10</f>
        <v>-0.89967826042920995</v>
      </c>
      <c r="AS10" s="26"/>
      <c r="AU10" s="21">
        <f t="shared" si="8"/>
        <v>6.2829649373875807E-2</v>
      </c>
      <c r="AV10" s="21">
        <f t="shared" si="9"/>
        <v>4.4989731656686294E-2</v>
      </c>
      <c r="AW10" s="21">
        <f t="shared" si="10"/>
        <v>4.3149518977069645E-2</v>
      </c>
      <c r="AX10" s="21">
        <f t="shared" si="11"/>
        <v>2.4418617339098336E-2</v>
      </c>
      <c r="AY10" s="21">
        <f t="shared" si="12"/>
        <v>0.10995587489131364</v>
      </c>
      <c r="AZ10" s="21">
        <f t="shared" si="13"/>
        <v>1.5400087795796713E-2</v>
      </c>
      <c r="BA10" s="21">
        <f t="shared" si="14"/>
        <v>3.3390515112905916E-2</v>
      </c>
      <c r="BB10" s="21">
        <f t="shared" si="15"/>
        <v>2.1415852902268773E-2</v>
      </c>
      <c r="BD10" s="21">
        <f t="shared" si="16"/>
        <v>-0.17267556379783644</v>
      </c>
      <c r="BE10" s="21">
        <f t="shared" si="17"/>
        <v>-0.30481852177468194</v>
      </c>
      <c r="BF10" s="21">
        <f t="shared" si="18"/>
        <v>-2.302684625867002E-2</v>
      </c>
      <c r="BG10" s="21">
        <f t="shared" si="19"/>
        <v>-4.6483821328787589E-2</v>
      </c>
      <c r="BH10" s="21">
        <f t="shared" si="20"/>
        <v>0.24923669845204155</v>
      </c>
      <c r="BI10" s="21">
        <f t="shared" si="21"/>
        <v>-0.1282077612478123</v>
      </c>
      <c r="BJ10" s="21">
        <f t="shared" si="22"/>
        <v>-0.11863844151748471</v>
      </c>
      <c r="BK10" s="21">
        <f t="shared" si="23"/>
        <v>1.6631616162077201E-4</v>
      </c>
      <c r="BM10" s="21">
        <f t="shared" si="43"/>
        <v>0.62635031448814937</v>
      </c>
      <c r="BN10" s="21">
        <f t="shared" si="24"/>
        <v>-0.32378337262838336</v>
      </c>
      <c r="BO10" s="21">
        <f t="shared" si="25"/>
        <v>0.4833871864047522</v>
      </c>
      <c r="BP10" s="21">
        <f t="shared" si="26"/>
        <v>0.34111243313107531</v>
      </c>
      <c r="BQ10" s="21">
        <f t="shared" si="27"/>
        <v>0.12563406758070514</v>
      </c>
      <c r="BS10" s="21">
        <f t="shared" si="44"/>
        <v>0.81568546203925518</v>
      </c>
      <c r="BT10" s="21">
        <f t="shared" si="28"/>
        <v>0.61433907234018115</v>
      </c>
      <c r="BU10" s="21">
        <f t="shared" si="29"/>
        <v>-0.50957385590922843</v>
      </c>
      <c r="BV10" s="21">
        <f t="shared" si="30"/>
        <v>1.2142733688191596</v>
      </c>
      <c r="BW10" s="21">
        <f t="shared" si="31"/>
        <v>-0.50335312321085712</v>
      </c>
      <c r="BY10" s="21">
        <f t="shared" si="45"/>
        <v>-4.3937958288093792</v>
      </c>
      <c r="BZ10" s="21">
        <f t="shared" si="32"/>
        <v>-2.8987718351003546</v>
      </c>
      <c r="CA10" s="21">
        <f t="shared" si="33"/>
        <v>-2.8851776324596958</v>
      </c>
      <c r="CB10" s="21">
        <f t="shared" si="34"/>
        <v>3.3419705892362259</v>
      </c>
      <c r="CC10" s="21">
        <f t="shared" si="35"/>
        <v>-1.951816950485554</v>
      </c>
      <c r="CE10" s="21">
        <f t="shared" si="46"/>
        <v>2.1873230900806369</v>
      </c>
      <c r="CF10" s="21">
        <f t="shared" si="36"/>
        <v>0.27221317665817885</v>
      </c>
      <c r="CG10" s="21">
        <f t="shared" si="37"/>
        <v>3.6539084691822268</v>
      </c>
      <c r="CH10" s="21">
        <f t="shared" si="38"/>
        <v>-2.2474563576816666</v>
      </c>
      <c r="CI10" s="21">
        <f t="shared" si="39"/>
        <v>0.5086578019218978</v>
      </c>
      <c r="CN10" s="25"/>
      <c r="CO10" s="25"/>
      <c r="CP10" s="25"/>
      <c r="CQ10" s="25"/>
      <c r="CR10" s="25"/>
      <c r="CS10" s="25"/>
      <c r="CT10" s="25"/>
      <c r="CU10" s="25"/>
      <c r="CV10" s="25"/>
      <c r="CW10" s="25"/>
      <c r="CX10" s="25"/>
      <c r="CY10" s="25"/>
    </row>
    <row r="11" spans="1:103">
      <c r="A11" s="30">
        <v>2003</v>
      </c>
      <c r="B11" s="63">
        <f t="shared" si="40"/>
        <v>385013</v>
      </c>
      <c r="C11" s="64">
        <f>NFA_in_yen!C11</f>
        <v>35932</v>
      </c>
      <c r="D11" s="64">
        <f>NFA_in_yen!D11</f>
        <v>29394</v>
      </c>
      <c r="E11" s="65">
        <f>NFA_in_yen!E11</f>
        <v>154959</v>
      </c>
      <c r="F11" s="63">
        <f t="shared" si="41"/>
        <v>227042</v>
      </c>
      <c r="G11" s="65">
        <f>NFA_in_yen!G11</f>
        <v>92645</v>
      </c>
      <c r="H11" s="64">
        <f>NFA_in_yen!H11</f>
        <v>72083</v>
      </c>
      <c r="I11" s="63">
        <f t="shared" si="42"/>
        <v>211993</v>
      </c>
      <c r="J11" s="64">
        <f>NFA_in_yen!J11</f>
        <v>9610</v>
      </c>
      <c r="K11" s="64">
        <f>NFA_in_yen!K11</f>
        <v>60085</v>
      </c>
      <c r="L11" s="65">
        <f>NFA_in_yen!L11</f>
        <v>32788</v>
      </c>
      <c r="M11" s="65">
        <f>NFA_in_yen!N11</f>
        <v>109510</v>
      </c>
      <c r="N11" s="34"/>
      <c r="O11" s="21">
        <f t="shared" si="0"/>
        <v>9.3326718838065204E-2</v>
      </c>
      <c r="P11" s="21">
        <f t="shared" si="1"/>
        <v>7.6345474048928219E-2</v>
      </c>
      <c r="Q11" s="21">
        <f t="shared" si="2"/>
        <v>0.58969956858599581</v>
      </c>
      <c r="R11" s="21">
        <f t="shared" si="3"/>
        <v>0.24062823852701076</v>
      </c>
      <c r="S11" s="21">
        <f t="shared" si="4"/>
        <v>4.5331685480180947E-2</v>
      </c>
      <c r="T11" s="21">
        <f t="shared" si="5"/>
        <v>0.28342916983107935</v>
      </c>
      <c r="U11" s="21">
        <f t="shared" si="6"/>
        <v>0.15466548423768708</v>
      </c>
      <c r="V11" s="21">
        <f t="shared" si="7"/>
        <v>0.51657366045105257</v>
      </c>
      <c r="X11" s="11">
        <f>Balance_on_income!C11</f>
        <v>1527.9</v>
      </c>
      <c r="Y11" s="11">
        <f>Balance_on_income!D11</f>
        <v>1195.3</v>
      </c>
      <c r="Z11" s="11">
        <f>Balance_on_income!E11</f>
        <v>6788.7</v>
      </c>
      <c r="AA11" s="11">
        <f>Balance_on_income!F11</f>
        <v>1528.1</v>
      </c>
      <c r="AB11" s="11">
        <f>Balance_on_income!H11</f>
        <v>584.9</v>
      </c>
      <c r="AC11" s="11">
        <f>Balance_on_income!I11</f>
        <v>390.1</v>
      </c>
      <c r="AD11" s="11">
        <f>Balance_on_income!J11</f>
        <v>773.4</v>
      </c>
      <c r="AE11" s="11">
        <f>Balance_on_income!K11</f>
        <v>996.9</v>
      </c>
      <c r="AG11" s="26">
        <f>'Stock-flow'!O11</f>
        <v>-3884.8</v>
      </c>
      <c r="AH11" s="26">
        <f>'Stock-flow'!Z11</f>
        <v>3617.5</v>
      </c>
      <c r="AI11" s="26">
        <f>'Stock-flow'!AK11</f>
        <v>-7010.0999999999985</v>
      </c>
      <c r="AJ11" s="26">
        <f>'Stock-flow'!BE11+'Stock-flow'!AK11</f>
        <v>-12518.879999999997</v>
      </c>
      <c r="AK11" s="26">
        <f>'Stock-flow'!AV11</f>
        <v>4488.4000000000015</v>
      </c>
      <c r="AL11" s="26">
        <f>'Stock-flow'!BE11</f>
        <v>-5508.7799999999988</v>
      </c>
      <c r="AM11" s="26">
        <f>'Stock-flow'!P11</f>
        <v>-492.20000000000005</v>
      </c>
      <c r="AN11" s="26">
        <f>'Stock-flow'!AA11</f>
        <v>9329.1</v>
      </c>
      <c r="AO11" s="26">
        <f>'Stock-flow'!AL11</f>
        <v>1285.7</v>
      </c>
      <c r="AP11" s="26">
        <f>'Stock-flow'!AW11</f>
        <v>-2155.4</v>
      </c>
      <c r="AQ11" s="26"/>
      <c r="AR11" s="8">
        <f>yield!M11</f>
        <v>-0.247839455387176</v>
      </c>
      <c r="AS11" s="26"/>
      <c r="AU11" s="21">
        <f t="shared" si="8"/>
        <v>4.4474139057375517E-2</v>
      </c>
      <c r="AV11" s="21">
        <f t="shared" si="9"/>
        <v>4.989009030544489E-2</v>
      </c>
      <c r="AW11" s="21">
        <f t="shared" si="10"/>
        <v>3.6858011789729472E-2</v>
      </c>
      <c r="AX11" s="21">
        <f t="shared" si="11"/>
        <v>1.6964821502798877E-2</v>
      </c>
      <c r="AY11" s="21">
        <f t="shared" si="12"/>
        <v>6.5068949160801193E-2</v>
      </c>
      <c r="AZ11" s="21">
        <f t="shared" si="13"/>
        <v>1.2079694778252659E-2</v>
      </c>
      <c r="BA11" s="21">
        <f t="shared" si="14"/>
        <v>2.6390618877544014E-2</v>
      </c>
      <c r="BB11" s="21">
        <f t="shared" si="15"/>
        <v>1.1770024902497234E-2</v>
      </c>
      <c r="BD11" s="21">
        <f t="shared" si="16"/>
        <v>-0.10427711199774636</v>
      </c>
      <c r="BE11" s="21">
        <f t="shared" si="17"/>
        <v>0.14595442082216792</v>
      </c>
      <c r="BF11" s="21">
        <f t="shared" si="18"/>
        <v>-6.0902725884690923E-2</v>
      </c>
      <c r="BG11" s="21">
        <f t="shared" si="19"/>
        <v>4.5016611997727107E-2</v>
      </c>
      <c r="BH11" s="21">
        <f t="shared" si="20"/>
        <v>-5.0180929292980792E-2</v>
      </c>
      <c r="BI11" s="21">
        <f t="shared" si="21"/>
        <v>0.23194890528452916</v>
      </c>
      <c r="BJ11" s="21">
        <f t="shared" si="22"/>
        <v>4.2225992462893602E-2</v>
      </c>
      <c r="BK11" s="21">
        <f t="shared" si="23"/>
        <v>-1.759159153627643E-2</v>
      </c>
      <c r="BM11" s="21">
        <f t="shared" si="43"/>
        <v>0.97727087765284404</v>
      </c>
      <c r="BN11" s="21">
        <f t="shared" si="24"/>
        <v>-0.15348846686079173</v>
      </c>
      <c r="BO11" s="21">
        <f t="shared" si="25"/>
        <v>0.53587018415616527</v>
      </c>
      <c r="BP11" s="21">
        <f t="shared" si="26"/>
        <v>0.37272712454777901</v>
      </c>
      <c r="BQ11" s="21">
        <f t="shared" si="27"/>
        <v>0.22216203580969154</v>
      </c>
      <c r="BS11" s="21">
        <f t="shared" si="44"/>
        <v>0.60338733115805732</v>
      </c>
      <c r="BT11" s="21">
        <f t="shared" si="28"/>
        <v>0.27676542849826685</v>
      </c>
      <c r="BU11" s="21">
        <f t="shared" si="29"/>
        <v>-0.44974642611755572</v>
      </c>
      <c r="BV11" s="21">
        <f t="shared" si="30"/>
        <v>1.1736176269607834</v>
      </c>
      <c r="BW11" s="21">
        <f t="shared" si="31"/>
        <v>-0.39724929818343718</v>
      </c>
      <c r="BY11" s="21">
        <f t="shared" si="45"/>
        <v>-2.6166586963073937</v>
      </c>
      <c r="BZ11" s="21">
        <f t="shared" si="32"/>
        <v>-0.40316662812999804</v>
      </c>
      <c r="CA11" s="21">
        <f t="shared" si="33"/>
        <v>-1.218762183858118</v>
      </c>
      <c r="CB11" s="21">
        <f t="shared" si="34"/>
        <v>-3.6722487605528715</v>
      </c>
      <c r="CC11" s="21">
        <f t="shared" si="35"/>
        <v>2.6775188762335937</v>
      </c>
      <c r="CE11" s="21">
        <f t="shared" si="46"/>
        <v>-3.8585825537296938</v>
      </c>
      <c r="CF11" s="21">
        <f t="shared" si="36"/>
        <v>-0.39024503214377815</v>
      </c>
      <c r="CG11" s="21">
        <f t="shared" si="37"/>
        <v>-2.7426377242533948</v>
      </c>
      <c r="CH11" s="21">
        <f t="shared" si="38"/>
        <v>-0.34655838911640774</v>
      </c>
      <c r="CI11" s="21">
        <f t="shared" si="39"/>
        <v>-0.37914140821611325</v>
      </c>
      <c r="CN11" s="25"/>
      <c r="CO11" s="25"/>
      <c r="CP11" s="25"/>
      <c r="CQ11" s="25"/>
      <c r="CR11" s="25"/>
      <c r="CS11" s="25"/>
      <c r="CT11" s="25"/>
      <c r="CU11" s="25"/>
      <c r="CV11" s="25"/>
      <c r="CW11" s="25"/>
      <c r="CX11" s="25"/>
      <c r="CY11" s="25"/>
    </row>
    <row r="12" spans="1:103">
      <c r="A12" s="30">
        <v>2004</v>
      </c>
      <c r="B12" s="63">
        <f t="shared" si="40"/>
        <v>433266</v>
      </c>
      <c r="C12" s="64">
        <f>NFA_in_yen!C12</f>
        <v>38581</v>
      </c>
      <c r="D12" s="64">
        <f>NFA_in_yen!D12</f>
        <v>37972</v>
      </c>
      <c r="E12" s="65">
        <f>NFA_in_yen!E12</f>
        <v>171275</v>
      </c>
      <c r="F12" s="63">
        <f t="shared" si="41"/>
        <v>258995</v>
      </c>
      <c r="G12" s="65">
        <f>NFA_in_yen!G12</f>
        <v>97718</v>
      </c>
      <c r="H12" s="64">
        <f>NFA_in_yen!H12</f>
        <v>87720</v>
      </c>
      <c r="I12" s="63">
        <f t="shared" si="42"/>
        <v>246946</v>
      </c>
      <c r="J12" s="64">
        <f>NFA_in_yen!J12</f>
        <v>10098</v>
      </c>
      <c r="K12" s="64">
        <f>NFA_in_yen!K12</f>
        <v>77393</v>
      </c>
      <c r="L12" s="65">
        <f>NFA_in_yen!L12</f>
        <v>42699</v>
      </c>
      <c r="M12" s="65">
        <f>NFA_in_yen!N12</f>
        <v>116756</v>
      </c>
      <c r="N12" s="34"/>
      <c r="O12" s="21">
        <f t="shared" si="0"/>
        <v>8.9046913443473527E-2</v>
      </c>
      <c r="P12" s="21">
        <f t="shared" si="1"/>
        <v>8.7641310419003568E-2</v>
      </c>
      <c r="Q12" s="21">
        <f t="shared" si="2"/>
        <v>0.59777365406009242</v>
      </c>
      <c r="R12" s="21">
        <f t="shared" si="3"/>
        <v>0.22553812207743049</v>
      </c>
      <c r="S12" s="21">
        <f t="shared" si="4"/>
        <v>4.0891530941987317E-2</v>
      </c>
      <c r="T12" s="21">
        <f t="shared" si="5"/>
        <v>0.31340050051428248</v>
      </c>
      <c r="U12" s="21">
        <f t="shared" si="6"/>
        <v>0.17290824714714959</v>
      </c>
      <c r="V12" s="21">
        <f t="shared" si="7"/>
        <v>0.47279972139658061</v>
      </c>
      <c r="X12" s="11">
        <f>Balance_on_income!C12</f>
        <v>2054.5</v>
      </c>
      <c r="Y12" s="11">
        <f>Balance_on_income!D12</f>
        <v>1483.9</v>
      </c>
      <c r="Z12" s="11">
        <f>Balance_on_income!E12</f>
        <v>7311.7</v>
      </c>
      <c r="AA12" s="11">
        <f>Balance_on_income!F12</f>
        <v>1392.6</v>
      </c>
      <c r="AB12" s="11">
        <f>Balance_on_income!H12</f>
        <v>687.1</v>
      </c>
      <c r="AC12" s="11">
        <f>Balance_on_income!I12</f>
        <v>650.1</v>
      </c>
      <c r="AD12" s="11">
        <f>Balance_on_income!J12</f>
        <v>714.6</v>
      </c>
      <c r="AE12" s="11">
        <f>Balance_on_income!K12</f>
        <v>905</v>
      </c>
      <c r="AG12" s="26">
        <f>'Stock-flow'!O12</f>
        <v>-699.5</v>
      </c>
      <c r="AH12" s="26">
        <f>'Stock-flow'!Z12</f>
        <v>5155.7</v>
      </c>
      <c r="AI12" s="26">
        <f>'Stock-flow'!AK12</f>
        <v>828.79999999999927</v>
      </c>
      <c r="AJ12" s="26">
        <f>'Stock-flow'!BE12+'Stock-flow'!AK12</f>
        <v>-801.65999999999985</v>
      </c>
      <c r="AK12" s="26">
        <f>'Stock-flow'!AV12</f>
        <v>-165.19999999999982</v>
      </c>
      <c r="AL12" s="26">
        <f>'Stock-flow'!BE12</f>
        <v>-1630.4599999999991</v>
      </c>
      <c r="AM12" s="26">
        <f>'Stock-flow'!P12</f>
        <v>-357.6</v>
      </c>
      <c r="AN12" s="26">
        <f>'Stock-flow'!AA12</f>
        <v>6761.7999999999993</v>
      </c>
      <c r="AO12" s="26">
        <f>'Stock-flow'!AL12</f>
        <v>-792.29999999999927</v>
      </c>
      <c r="AP12" s="26">
        <f>'Stock-flow'!AW12</f>
        <v>-146.10000000000036</v>
      </c>
      <c r="AQ12" s="26"/>
      <c r="AR12" s="8">
        <f>yield!M12</f>
        <v>-8.2754054945362292E-3</v>
      </c>
      <c r="AS12" s="26"/>
      <c r="AU12" s="21">
        <f t="shared" si="8"/>
        <v>5.7264939248306002E-2</v>
      </c>
      <c r="AV12" s="21">
        <f t="shared" si="9"/>
        <v>5.057003071748567E-2</v>
      </c>
      <c r="AW12" s="21">
        <f t="shared" si="10"/>
        <v>3.2289599827380666E-2</v>
      </c>
      <c r="AX12" s="21">
        <f t="shared" si="11"/>
        <v>1.5115577060414331E-2</v>
      </c>
      <c r="AY12" s="21">
        <f t="shared" si="12"/>
        <v>7.1587117305094816E-2</v>
      </c>
      <c r="AZ12" s="21">
        <f t="shared" si="13"/>
        <v>1.0903328480737162E-2</v>
      </c>
      <c r="BA12" s="21">
        <f t="shared" si="14"/>
        <v>2.1879123626138641E-2</v>
      </c>
      <c r="BB12" s="21">
        <f t="shared" si="15"/>
        <v>8.347530318574492E-3</v>
      </c>
      <c r="BD12" s="21">
        <f t="shared" si="16"/>
        <v>-1.9386177403394655E-2</v>
      </c>
      <c r="BE12" s="21">
        <f t="shared" si="17"/>
        <v>0.1754970185886966</v>
      </c>
      <c r="BF12" s="21">
        <f t="shared" si="18"/>
        <v>-3.4484198738464755E-3</v>
      </c>
      <c r="BG12" s="21">
        <f t="shared" si="19"/>
        <v>-1.7005374081037195E-3</v>
      </c>
      <c r="BH12" s="21">
        <f t="shared" si="20"/>
        <v>-3.7131557025409156E-2</v>
      </c>
      <c r="BI12" s="21">
        <f t="shared" si="21"/>
        <v>0.11262931349888516</v>
      </c>
      <c r="BJ12" s="21">
        <f t="shared" si="22"/>
        <v>-2.4083567370746017E-2</v>
      </c>
      <c r="BK12" s="21">
        <f t="shared" si="23"/>
        <v>-1.2514742470900453E-3</v>
      </c>
      <c r="BM12" s="21">
        <f t="shared" si="43"/>
        <v>1.2579577914077495</v>
      </c>
      <c r="BN12" s="21">
        <f t="shared" si="24"/>
        <v>-9.9294517785806835E-2</v>
      </c>
      <c r="BO12" s="21">
        <f t="shared" si="25"/>
        <v>0.71355368355602478</v>
      </c>
      <c r="BP12" s="21">
        <f t="shared" si="26"/>
        <v>0.38745973337286066</v>
      </c>
      <c r="BQ12" s="21">
        <f t="shared" si="27"/>
        <v>0.25623889226467106</v>
      </c>
      <c r="BS12" s="21">
        <f t="shared" si="44"/>
        <v>0.52724161400875713</v>
      </c>
      <c r="BT12" s="21">
        <f t="shared" si="28"/>
        <v>0.30921293762562307</v>
      </c>
      <c r="BU12" s="21">
        <f t="shared" si="29"/>
        <v>-0.63650652074558389</v>
      </c>
      <c r="BV12" s="21">
        <f t="shared" si="30"/>
        <v>1.1782620503959265</v>
      </c>
      <c r="BW12" s="21">
        <f t="shared" si="31"/>
        <v>-0.32372685326720851</v>
      </c>
      <c r="BY12" s="21">
        <f t="shared" si="45"/>
        <v>2.0049401705461887</v>
      </c>
      <c r="BZ12" s="21">
        <f t="shared" si="32"/>
        <v>0.12302730112050266</v>
      </c>
      <c r="CA12" s="21">
        <f t="shared" si="33"/>
        <v>1.1309103105120124</v>
      </c>
      <c r="CB12" s="21">
        <f t="shared" si="34"/>
        <v>0.76800413282770574</v>
      </c>
      <c r="CC12" s="21">
        <f t="shared" si="35"/>
        <v>-1.7001573914032297E-2</v>
      </c>
      <c r="CE12" s="21">
        <f t="shared" si="46"/>
        <v>-3.6770797504798898</v>
      </c>
      <c r="CF12" s="21">
        <f t="shared" si="36"/>
        <v>-0.13562852746112411</v>
      </c>
      <c r="CG12" s="21">
        <f t="shared" si="37"/>
        <v>-2.9833132850425916</v>
      </c>
      <c r="CH12" s="21">
        <f t="shared" si="38"/>
        <v>-0.59886764306203055</v>
      </c>
      <c r="CI12" s="21">
        <f t="shared" si="39"/>
        <v>4.0729705085856618E-2</v>
      </c>
      <c r="CT12" s="25"/>
      <c r="CU12" s="25"/>
      <c r="CV12" s="25"/>
      <c r="CW12" s="25"/>
      <c r="CX12" s="25"/>
      <c r="CY12" s="25"/>
    </row>
    <row r="13" spans="1:103">
      <c r="A13" s="30">
        <v>2005</v>
      </c>
      <c r="B13" s="63">
        <f t="shared" si="40"/>
        <v>503087</v>
      </c>
      <c r="C13" s="64">
        <f>NFA_in_yen!C13</f>
        <v>45605</v>
      </c>
      <c r="D13" s="64">
        <f>NFA_in_yen!D13</f>
        <v>48200</v>
      </c>
      <c r="E13" s="65">
        <f>NFA_in_yen!E13</f>
        <v>201294</v>
      </c>
      <c r="F13" s="63">
        <f t="shared" si="41"/>
        <v>300738</v>
      </c>
      <c r="G13" s="65">
        <f>NFA_in_yen!G13</f>
        <v>108544</v>
      </c>
      <c r="H13" s="64">
        <f>NFA_in_yen!H13</f>
        <v>99444</v>
      </c>
      <c r="I13" s="63">
        <f t="shared" si="42"/>
        <v>321571</v>
      </c>
      <c r="J13" s="64">
        <f>NFA_in_yen!J13</f>
        <v>11903</v>
      </c>
      <c r="K13" s="64">
        <f>NFA_in_yen!K13</f>
        <v>132842</v>
      </c>
      <c r="L13" s="65">
        <f>NFA_in_yen!L13</f>
        <v>49117</v>
      </c>
      <c r="M13" s="65">
        <f>NFA_in_yen!N13</f>
        <v>127709</v>
      </c>
      <c r="N13" s="34"/>
      <c r="O13" s="21">
        <f t="shared" si="0"/>
        <v>9.0650324894103809E-2</v>
      </c>
      <c r="P13" s="21">
        <f t="shared" si="1"/>
        <v>9.5808478454024848E-2</v>
      </c>
      <c r="Q13" s="21">
        <f t="shared" si="2"/>
        <v>0.59778527372005241</v>
      </c>
      <c r="R13" s="21">
        <f t="shared" si="3"/>
        <v>0.21575592293181894</v>
      </c>
      <c r="S13" s="21">
        <f t="shared" si="4"/>
        <v>3.7015153729658461E-2</v>
      </c>
      <c r="T13" s="21">
        <f t="shared" si="5"/>
        <v>0.41310317161684357</v>
      </c>
      <c r="U13" s="21">
        <f t="shared" si="6"/>
        <v>0.15274076331509992</v>
      </c>
      <c r="V13" s="21">
        <f t="shared" si="7"/>
        <v>0.39714091133839807</v>
      </c>
      <c r="X13" s="11">
        <f>Balance_on_income!C13</f>
        <v>3350.4</v>
      </c>
      <c r="Y13" s="11">
        <f>Balance_on_income!D13</f>
        <v>2080.1999999999998</v>
      </c>
      <c r="Z13" s="11">
        <f>Balance_on_income!E13</f>
        <v>8441.9</v>
      </c>
      <c r="AA13" s="11">
        <f>Balance_on_income!F13</f>
        <v>1687.2</v>
      </c>
      <c r="AB13" s="11">
        <f>Balance_on_income!H13</f>
        <v>1044.0999999999999</v>
      </c>
      <c r="AC13" s="11">
        <f>Balance_on_income!I13</f>
        <v>1104.8</v>
      </c>
      <c r="AD13" s="11">
        <f>Balance_on_income!J13</f>
        <v>769.3</v>
      </c>
      <c r="AE13" s="11">
        <f>Balance_on_income!K13</f>
        <v>1207.2</v>
      </c>
      <c r="AG13" s="26">
        <f>'Stock-flow'!O13</f>
        <v>1978.1000000000004</v>
      </c>
      <c r="AH13" s="26">
        <f>'Stock-flow'!Z13</f>
        <v>7662.7</v>
      </c>
      <c r="AI13" s="26">
        <f>'Stock-flow'!AK13</f>
        <v>10934.3</v>
      </c>
      <c r="AJ13" s="26">
        <f>'Stock-flow'!BE13+'Stock-flow'!AK13</f>
        <v>20202.05</v>
      </c>
      <c r="AK13" s="26">
        <f>'Stock-flow'!AV13</f>
        <v>-1480.8999999999996</v>
      </c>
      <c r="AL13" s="26">
        <f>'Stock-flow'!BE13</f>
        <v>9267.75</v>
      </c>
      <c r="AM13" s="26">
        <f>'Stock-flow'!P13</f>
        <v>1499.1</v>
      </c>
      <c r="AN13" s="26">
        <f>'Stock-flow'!AA13</f>
        <v>40544.800000000003</v>
      </c>
      <c r="AO13" s="26">
        <f>'Stock-flow'!AL13</f>
        <v>742.5</v>
      </c>
      <c r="AP13" s="26">
        <f>'Stock-flow'!AW13</f>
        <v>5491.7</v>
      </c>
      <c r="AQ13" s="26"/>
      <c r="AR13" s="8">
        <f>yield!M13</f>
        <v>-0.27311098237193399</v>
      </c>
      <c r="AS13" s="26"/>
      <c r="AU13" s="21">
        <f t="shared" si="8"/>
        <v>8.9817083011535459E-2</v>
      </c>
      <c r="AV13" s="21">
        <f t="shared" si="9"/>
        <v>5.7671087191129677E-2</v>
      </c>
      <c r="AW13" s="21">
        <f t="shared" si="10"/>
        <v>3.5422690820782865E-2</v>
      </c>
      <c r="AX13" s="21">
        <f t="shared" si="11"/>
        <v>2.0051884077639581E-2</v>
      </c>
      <c r="AY13" s="21">
        <f t="shared" si="12"/>
        <v>0.10641846255246334</v>
      </c>
      <c r="AZ13" s="21">
        <f t="shared" si="13"/>
        <v>1.7052875947640933E-2</v>
      </c>
      <c r="BA13" s="21">
        <f t="shared" si="14"/>
        <v>2.0804745249944689E-2</v>
      </c>
      <c r="BB13" s="21">
        <f t="shared" si="15"/>
        <v>1.3106416345951999E-2</v>
      </c>
      <c r="BD13" s="21">
        <f t="shared" si="16"/>
        <v>5.4150351564058896E-2</v>
      </c>
      <c r="BE13" s="21">
        <f t="shared" si="17"/>
        <v>0.2050899267116677</v>
      </c>
      <c r="BF13" s="21">
        <f t="shared" si="18"/>
        <v>8.0953902697139535E-2</v>
      </c>
      <c r="BG13" s="21">
        <f t="shared" si="19"/>
        <v>-1.2457746947159731E-2</v>
      </c>
      <c r="BH13" s="21">
        <f t="shared" si="20"/>
        <v>0.15160028648703316</v>
      </c>
      <c r="BI13" s="21">
        <f t="shared" si="21"/>
        <v>0.52805529165069198</v>
      </c>
      <c r="BJ13" s="21">
        <f t="shared" si="22"/>
        <v>2.0175377016710572E-2</v>
      </c>
      <c r="BK13" s="21">
        <f t="shared" si="23"/>
        <v>4.9903099047287958E-2</v>
      </c>
      <c r="BM13" s="21">
        <f t="shared" si="43"/>
        <v>1.5124256301850645</v>
      </c>
      <c r="BN13" s="21">
        <f t="shared" si="24"/>
        <v>-0.10785787161003926</v>
      </c>
      <c r="BO13" s="21">
        <f t="shared" si="25"/>
        <v>0.81448004969797427</v>
      </c>
      <c r="BP13" s="21">
        <f t="shared" si="26"/>
        <v>0.56328930421387746</v>
      </c>
      <c r="BQ13" s="21">
        <f t="shared" si="27"/>
        <v>0.24251414788325187</v>
      </c>
      <c r="BS13" s="21">
        <f t="shared" si="44"/>
        <v>0.41352472352614467</v>
      </c>
      <c r="BT13" s="21">
        <f t="shared" si="28"/>
        <v>0.47248988785110935</v>
      </c>
      <c r="BU13" s="21">
        <f t="shared" si="29"/>
        <v>-0.84348106994591632</v>
      </c>
      <c r="BV13" s="21">
        <f t="shared" si="30"/>
        <v>1.194454625293057</v>
      </c>
      <c r="BW13" s="21">
        <f t="shared" si="31"/>
        <v>-0.40993871967210538</v>
      </c>
      <c r="BY13" s="21">
        <f t="shared" si="45"/>
        <v>-6.9446568379121469</v>
      </c>
      <c r="BZ13" s="21">
        <f t="shared" si="32"/>
        <v>-0.63312464746778352</v>
      </c>
      <c r="CA13" s="21">
        <f t="shared" si="33"/>
        <v>-6.4761307411937956</v>
      </c>
      <c r="CB13" s="21">
        <f t="shared" si="34"/>
        <v>2.3420454861983084</v>
      </c>
      <c r="CC13" s="21">
        <f t="shared" si="35"/>
        <v>-2.1774469354488759</v>
      </c>
      <c r="CE13" s="21">
        <f t="shared" si="46"/>
        <v>-6.0949367557673098</v>
      </c>
      <c r="CF13" s="21">
        <f t="shared" si="36"/>
        <v>0.49540003376375907</v>
      </c>
      <c r="CG13" s="21">
        <f t="shared" si="37"/>
        <v>-8.275713535985636</v>
      </c>
      <c r="CH13" s="21">
        <f t="shared" si="38"/>
        <v>2.1483166288218869</v>
      </c>
      <c r="CI13" s="21">
        <f t="shared" si="39"/>
        <v>-0.46293988236732009</v>
      </c>
      <c r="CY13" s="25"/>
    </row>
    <row r="14" spans="1:103">
      <c r="A14" s="30">
        <v>2006</v>
      </c>
      <c r="B14" s="63">
        <f t="shared" si="40"/>
        <v>555366</v>
      </c>
      <c r="C14" s="64">
        <f>NFA_in_yen!C14</f>
        <v>53476</v>
      </c>
      <c r="D14" s="64">
        <f>NFA_in_yen!D14</f>
        <v>60714</v>
      </c>
      <c r="E14" s="65">
        <f>NFA_in_yen!E14</f>
        <v>218043</v>
      </c>
      <c r="F14" s="63">
        <f t="shared" si="41"/>
        <v>324478</v>
      </c>
      <c r="G14" s="65">
        <f>NFA_in_yen!G14</f>
        <v>116698</v>
      </c>
      <c r="H14" s="64">
        <f>NFA_in_yen!H14</f>
        <v>106435</v>
      </c>
      <c r="I14" s="63">
        <f t="shared" si="42"/>
        <v>339437</v>
      </c>
      <c r="J14" s="64">
        <f>NFA_in_yen!J14</f>
        <v>12803</v>
      </c>
      <c r="K14" s="64">
        <f>NFA_in_yen!K14</f>
        <v>149277</v>
      </c>
      <c r="L14" s="65">
        <f>NFA_in_yen!L14</f>
        <v>60419</v>
      </c>
      <c r="M14" s="65">
        <f>NFA_in_yen!N14</f>
        <v>116938</v>
      </c>
      <c r="N14" s="34"/>
      <c r="O14" s="21">
        <f t="shared" si="0"/>
        <v>9.6289654029955027E-2</v>
      </c>
      <c r="P14" s="21">
        <f t="shared" si="1"/>
        <v>0.10932250083728569</v>
      </c>
      <c r="Q14" s="21">
        <f t="shared" si="2"/>
        <v>0.58425974942650427</v>
      </c>
      <c r="R14" s="21">
        <f t="shared" si="3"/>
        <v>0.21012809570625499</v>
      </c>
      <c r="S14" s="21">
        <f t="shared" si="4"/>
        <v>3.7718339485677752E-2</v>
      </c>
      <c r="T14" s="21">
        <f t="shared" si="5"/>
        <v>0.43977822099535407</v>
      </c>
      <c r="U14" s="21">
        <f t="shared" si="6"/>
        <v>0.1779976844009345</v>
      </c>
      <c r="V14" s="21">
        <f t="shared" si="7"/>
        <v>0.34450575511803366</v>
      </c>
      <c r="X14" s="11">
        <f>Balance_on_income!C14</f>
        <v>4082.7</v>
      </c>
      <c r="Y14" s="11">
        <f>Balance_on_income!D14</f>
        <v>2705.9</v>
      </c>
      <c r="Z14" s="11">
        <f>Balance_on_income!E14</f>
        <v>10303.4</v>
      </c>
      <c r="AA14" s="11">
        <f>Balance_on_income!F14</f>
        <v>2238.9</v>
      </c>
      <c r="AB14" s="11">
        <f>Balance_on_income!H14</f>
        <v>1048.8</v>
      </c>
      <c r="AC14" s="11">
        <f>Balance_on_income!I14</f>
        <v>1609</v>
      </c>
      <c r="AD14" s="11">
        <f>Balance_on_income!J14</f>
        <v>844.7</v>
      </c>
      <c r="AE14" s="11">
        <f>Balance_on_income!K14</f>
        <v>2014.2</v>
      </c>
      <c r="AG14" s="26">
        <f>'Stock-flow'!O14</f>
        <v>2025.3000000000002</v>
      </c>
      <c r="AH14" s="26">
        <f>'Stock-flow'!Z14</f>
        <v>9617.6</v>
      </c>
      <c r="AI14" s="26">
        <f>'Stock-flow'!AK14</f>
        <v>11373.2</v>
      </c>
      <c r="AJ14" s="26">
        <f>'Stock-flow'!BE14+'Stock-flow'!AK14</f>
        <v>14644.623500000002</v>
      </c>
      <c r="AK14" s="26">
        <f>'Stock-flow'!AV14</f>
        <v>-1895</v>
      </c>
      <c r="AL14" s="26">
        <f>'Stock-flow'!BE14</f>
        <v>3271.4234999999999</v>
      </c>
      <c r="AM14" s="26">
        <f>'Stock-flow'!P14</f>
        <v>1656.7</v>
      </c>
      <c r="AN14" s="26">
        <f>'Stock-flow'!AA14</f>
        <v>8095</v>
      </c>
      <c r="AO14" s="26">
        <f>'Stock-flow'!AL14</f>
        <v>-3426.2000000000007</v>
      </c>
      <c r="AP14" s="26">
        <f>'Stock-flow'!AW14</f>
        <v>-429.5</v>
      </c>
      <c r="AQ14" s="26"/>
      <c r="AR14" s="8">
        <f>yield!M14</f>
        <v>0.24066390041427599</v>
      </c>
      <c r="AS14" s="26"/>
      <c r="AU14" s="21">
        <f t="shared" si="8"/>
        <v>8.6907285143488222E-2</v>
      </c>
      <c r="AV14" s="21">
        <f t="shared" si="9"/>
        <v>5.3603361205404765E-2</v>
      </c>
      <c r="AW14" s="21">
        <f t="shared" si="10"/>
        <v>3.1777270693580162E-2</v>
      </c>
      <c r="AX14" s="21">
        <f t="shared" si="11"/>
        <v>1.8176275575785494E-2</v>
      </c>
      <c r="AY14" s="21">
        <f t="shared" si="12"/>
        <v>8.5499834371222327E-2</v>
      </c>
      <c r="AZ14" s="21">
        <f t="shared" si="13"/>
        <v>9.6821926642278733E-3</v>
      </c>
      <c r="BA14" s="21">
        <f t="shared" si="14"/>
        <v>1.4755561273188889E-2</v>
      </c>
      <c r="BB14" s="21">
        <f t="shared" si="15"/>
        <v>1.3333066804451565E-2</v>
      </c>
      <c r="BD14" s="21">
        <f t="shared" si="16"/>
        <v>4.1902121924941138E-2</v>
      </c>
      <c r="BE14" s="21">
        <f t="shared" si="17"/>
        <v>0.19665535226426822</v>
      </c>
      <c r="BF14" s="21">
        <f t="shared" si="18"/>
        <v>4.6177848026053514E-2</v>
      </c>
      <c r="BG14" s="21">
        <f t="shared" si="19"/>
        <v>-1.9817303808783104E-2</v>
      </c>
      <c r="BH14" s="21">
        <f t="shared" si="20"/>
        <v>0.13644837815002231</v>
      </c>
      <c r="BI14" s="21">
        <f t="shared" si="21"/>
        <v>5.8389890648030018E-2</v>
      </c>
      <c r="BJ14" s="21">
        <f t="shared" si="22"/>
        <v>-7.1989275804846264E-2</v>
      </c>
      <c r="BK14" s="21">
        <f t="shared" si="23"/>
        <v>-5.7559012085950378E-3</v>
      </c>
      <c r="BM14" s="21">
        <f t="shared" si="43"/>
        <v>1.9137650335161123</v>
      </c>
      <c r="BN14" s="21">
        <f t="shared" si="24"/>
        <v>8.9841438240354631E-3</v>
      </c>
      <c r="BO14" s="21">
        <f t="shared" si="25"/>
        <v>1.1175997177665522</v>
      </c>
      <c r="BP14" s="21">
        <f t="shared" si="26"/>
        <v>0.63876180574250907</v>
      </c>
      <c r="BQ14" s="21">
        <f t="shared" si="27"/>
        <v>0.14841936618301563</v>
      </c>
      <c r="BS14" s="21">
        <f t="shared" si="44"/>
        <v>0.20803873432523934</v>
      </c>
      <c r="BT14" s="21">
        <f t="shared" si="28"/>
        <v>0.4623542682570243</v>
      </c>
      <c r="BU14" s="21">
        <f t="shared" si="29"/>
        <v>-1.0040085198352062</v>
      </c>
      <c r="BV14" s="21">
        <f t="shared" si="30"/>
        <v>1.0354590710203329</v>
      </c>
      <c r="BW14" s="21">
        <f t="shared" si="31"/>
        <v>-0.28576608511691159</v>
      </c>
      <c r="BY14" s="21">
        <f t="shared" si="45"/>
        <v>6.9181962591731647</v>
      </c>
      <c r="BZ14" s="21">
        <f t="shared" si="32"/>
        <v>-0.60351465265299242</v>
      </c>
      <c r="CA14" s="21">
        <f t="shared" si="33"/>
        <v>3.518245210946505</v>
      </c>
      <c r="CB14" s="21">
        <f t="shared" si="34"/>
        <v>4.434375157832366</v>
      </c>
      <c r="CC14" s="21">
        <f t="shared" si="35"/>
        <v>-0.43090945695271321</v>
      </c>
      <c r="CE14" s="21">
        <f t="shared" si="46"/>
        <v>-3.9103640618389273</v>
      </c>
      <c r="CF14" s="21">
        <f t="shared" si="36"/>
        <v>0.47829297993925435</v>
      </c>
      <c r="CG14" s="21">
        <f t="shared" si="37"/>
        <v>-4.0462251046247113</v>
      </c>
      <c r="CH14" s="21">
        <f t="shared" si="38"/>
        <v>-0.57436171193328056</v>
      </c>
      <c r="CI14" s="21">
        <f t="shared" si="39"/>
        <v>0.23192977477981025</v>
      </c>
    </row>
    <row r="15" spans="1:103">
      <c r="A15" s="30">
        <v>2007</v>
      </c>
      <c r="B15" s="63">
        <f t="shared" si="40"/>
        <v>606051</v>
      </c>
      <c r="C15" s="64">
        <f>NFA_in_yen!C15</f>
        <v>61858</v>
      </c>
      <c r="D15" s="64">
        <f>NFA_in_yen!D15</f>
        <v>65376</v>
      </c>
      <c r="E15" s="65">
        <f>NFA_in_yen!E15</f>
        <v>222311</v>
      </c>
      <c r="F15" s="63">
        <f t="shared" si="41"/>
        <v>332590</v>
      </c>
      <c r="G15" s="65">
        <f>NFA_in_yen!G15</f>
        <v>146227</v>
      </c>
      <c r="H15" s="64">
        <f>NFA_in_yen!H15</f>
        <v>110279</v>
      </c>
      <c r="I15" s="63">
        <f t="shared" si="42"/>
        <v>355306</v>
      </c>
      <c r="J15" s="64">
        <f>NFA_in_yen!J15</f>
        <v>15145</v>
      </c>
      <c r="K15" s="64">
        <f>NFA_in_yen!K15</f>
        <v>142031</v>
      </c>
      <c r="L15" s="65">
        <f>NFA_in_yen!L15</f>
        <v>79456</v>
      </c>
      <c r="M15" s="65">
        <f>NFA_in_yen!N15</f>
        <v>118674</v>
      </c>
      <c r="N15" s="34"/>
      <c r="O15" s="21">
        <f t="shared" si="0"/>
        <v>0.1020673177669866</v>
      </c>
      <c r="P15" s="21">
        <f t="shared" si="1"/>
        <v>0.1078721097729399</v>
      </c>
      <c r="Q15" s="21">
        <f t="shared" si="2"/>
        <v>0.54878219819784146</v>
      </c>
      <c r="R15" s="21">
        <f t="shared" si="3"/>
        <v>0.24127837426223206</v>
      </c>
      <c r="S15" s="21">
        <f t="shared" si="4"/>
        <v>4.262523008336476E-2</v>
      </c>
      <c r="T15" s="21">
        <f t="shared" si="5"/>
        <v>0.39974275694753253</v>
      </c>
      <c r="U15" s="21">
        <f t="shared" si="6"/>
        <v>0.22362695817126646</v>
      </c>
      <c r="V15" s="21">
        <f t="shared" si="7"/>
        <v>0.33400505479783621</v>
      </c>
      <c r="X15" s="11">
        <f>Balance_on_income!C15</f>
        <v>5309.2</v>
      </c>
      <c r="Y15" s="11">
        <f>Balance_on_income!D15</f>
        <v>3363.7</v>
      </c>
      <c r="Z15" s="11">
        <f>Balance_on_income!E15</f>
        <v>11997.3</v>
      </c>
      <c r="AA15" s="11">
        <f>Balance_on_income!F15</f>
        <v>2942.1</v>
      </c>
      <c r="AB15" s="11">
        <f>Balance_on_income!H15</f>
        <v>1743.7</v>
      </c>
      <c r="AC15" s="11">
        <f>Balance_on_income!I15</f>
        <v>2031.7</v>
      </c>
      <c r="AD15" s="11">
        <f>Balance_on_income!J15</f>
        <v>1077.8</v>
      </c>
      <c r="AE15" s="11">
        <f>Balance_on_income!K15</f>
        <v>2285.1999999999998</v>
      </c>
      <c r="AG15" s="26">
        <f>'Stock-flow'!O15</f>
        <v>-278.60000000000036</v>
      </c>
      <c r="AH15" s="26">
        <f>'Stock-flow'!Z15</f>
        <v>1574</v>
      </c>
      <c r="AI15" s="26">
        <f>'Stock-flow'!AK15</f>
        <v>-7232.2999999999993</v>
      </c>
      <c r="AJ15" s="26">
        <f>'Stock-flow'!BE15+'Stock-flow'!AK15</f>
        <v>-7685.7105999999994</v>
      </c>
      <c r="AK15" s="26">
        <f>'Stock-flow'!AV15</f>
        <v>-1114.2000000000007</v>
      </c>
      <c r="AL15" s="26">
        <f>'Stock-flow'!BE15</f>
        <v>-453.41060000000016</v>
      </c>
      <c r="AM15" s="26">
        <f>'Stock-flow'!P15</f>
        <v>-313.30000000000018</v>
      </c>
      <c r="AN15" s="26">
        <f>'Stock-flow'!AA15</f>
        <v>-12638.6</v>
      </c>
      <c r="AO15" s="26">
        <f>'Stock-flow'!AL15</f>
        <v>1589.7000000000007</v>
      </c>
      <c r="AP15" s="26">
        <f>'Stock-flow'!AW15</f>
        <v>-4271.1000000000004</v>
      </c>
      <c r="AQ15" s="26"/>
      <c r="AR15" s="8">
        <f>yield!M15</f>
        <v>5.7951817204070298E-2</v>
      </c>
      <c r="AS15" s="26"/>
      <c r="AU15" s="21">
        <f t="shared" si="8"/>
        <v>9.8645235982816937E-2</v>
      </c>
      <c r="AV15" s="21">
        <f t="shared" si="9"/>
        <v>5.4791107749485812E-2</v>
      </c>
      <c r="AW15" s="21">
        <f t="shared" si="10"/>
        <v>3.6373558102750669E-2</v>
      </c>
      <c r="AX15" s="21">
        <f t="shared" si="11"/>
        <v>2.4617444555705692E-2</v>
      </c>
      <c r="AY15" s="21">
        <f t="shared" si="12"/>
        <v>0.13553657779895767</v>
      </c>
      <c r="AZ15" s="21">
        <f t="shared" si="13"/>
        <v>1.3023202804470113E-2</v>
      </c>
      <c r="BA15" s="21">
        <f t="shared" si="14"/>
        <v>1.7249244907755479E-2</v>
      </c>
      <c r="BB15" s="21">
        <f t="shared" si="15"/>
        <v>1.8951478612226236E-2</v>
      </c>
      <c r="BD15" s="21">
        <f t="shared" si="16"/>
        <v>-5.7859788403831214E-3</v>
      </c>
      <c r="BE15" s="21">
        <f t="shared" si="17"/>
        <v>2.5330630149021705E-2</v>
      </c>
      <c r="BF15" s="21">
        <f t="shared" si="18"/>
        <v>-2.4251848070291349E-2</v>
      </c>
      <c r="BG15" s="21">
        <f t="shared" si="19"/>
        <v>-1.0121374120902749E-2</v>
      </c>
      <c r="BH15" s="21">
        <f t="shared" si="20"/>
        <v>-2.5035836599665795E-2</v>
      </c>
      <c r="BI15" s="21">
        <f t="shared" si="21"/>
        <v>-8.5195566454022265E-2</v>
      </c>
      <c r="BJ15" s="21">
        <f t="shared" si="22"/>
        <v>2.5716838155994015E-2</v>
      </c>
      <c r="BK15" s="21">
        <f t="shared" si="23"/>
        <v>-3.7082511242309879E-2</v>
      </c>
      <c r="BM15" s="21">
        <f t="shared" si="43"/>
        <v>1.7855619234732687</v>
      </c>
      <c r="BN15" s="21">
        <f t="shared" si="24"/>
        <v>-0.24718673474401898</v>
      </c>
      <c r="BO15" s="21">
        <f t="shared" si="25"/>
        <v>1.1467393377372603</v>
      </c>
      <c r="BP15" s="21">
        <f t="shared" si="26"/>
        <v>0.72888249498646307</v>
      </c>
      <c r="BQ15" s="21">
        <f t="shared" si="27"/>
        <v>0.15712682549356422</v>
      </c>
      <c r="BS15" s="21">
        <f t="shared" si="44"/>
        <v>0.36184653047702697</v>
      </c>
      <c r="BT15" s="21">
        <f t="shared" si="28"/>
        <v>0.68581683377808433</v>
      </c>
      <c r="BU15" s="21">
        <f t="shared" si="29"/>
        <v>-1.1204813415565202</v>
      </c>
      <c r="BV15" s="21">
        <f t="shared" si="30"/>
        <v>1.0892455341753784</v>
      </c>
      <c r="BW15" s="21">
        <f t="shared" si="31"/>
        <v>-0.29273449591991552</v>
      </c>
      <c r="BY15" s="21">
        <f t="shared" si="45"/>
        <v>2.0067102959800729</v>
      </c>
      <c r="BZ15" s="21">
        <f t="shared" si="32"/>
        <v>0.12898174068914028</v>
      </c>
      <c r="CA15" s="21">
        <f t="shared" si="33"/>
        <v>3.0345007168073854</v>
      </c>
      <c r="CB15" s="21">
        <f t="shared" si="34"/>
        <v>-1.9044501267288385</v>
      </c>
      <c r="CC15" s="21">
        <f t="shared" si="35"/>
        <v>0.74767796521238561</v>
      </c>
      <c r="CE15" s="21">
        <f t="shared" si="46"/>
        <v>1.2457876959815535</v>
      </c>
      <c r="CF15" s="21">
        <f t="shared" si="36"/>
        <v>-9.0263712348238351E-2</v>
      </c>
      <c r="CG15" s="21">
        <f t="shared" si="37"/>
        <v>0.98913553194429282</v>
      </c>
      <c r="CH15" s="21">
        <f t="shared" si="38"/>
        <v>2.9758494872977589E-2</v>
      </c>
      <c r="CI15" s="21">
        <f t="shared" si="39"/>
        <v>0.31715738151252154</v>
      </c>
    </row>
    <row r="16" spans="1:103">
      <c r="A16" s="30">
        <v>2008</v>
      </c>
      <c r="B16" s="63">
        <f t="shared" si="40"/>
        <v>512157</v>
      </c>
      <c r="C16" s="64">
        <f>NFA_in_yen!C16</f>
        <v>61740</v>
      </c>
      <c r="D16" s="64">
        <f>NFA_in_yen!D16</f>
        <v>35817</v>
      </c>
      <c r="E16" s="65">
        <f>NFA_in_yen!E16</f>
        <v>179865</v>
      </c>
      <c r="F16" s="63">
        <f t="shared" si="41"/>
        <v>272848</v>
      </c>
      <c r="G16" s="65">
        <f>NFA_in_yen!G16</f>
        <v>141752</v>
      </c>
      <c r="H16" s="64">
        <f>NFA_in_yen!H16</f>
        <v>92983</v>
      </c>
      <c r="I16" s="63">
        <f t="shared" si="42"/>
        <v>285509</v>
      </c>
      <c r="J16" s="64">
        <f>NFA_in_yen!J16</f>
        <v>18456</v>
      </c>
      <c r="K16" s="64">
        <f>NFA_in_yen!K16</f>
        <v>68625</v>
      </c>
      <c r="L16" s="65">
        <f>NFA_in_yen!L16</f>
        <v>71282</v>
      </c>
      <c r="M16" s="65">
        <f>NFA_in_yen!N16</f>
        <v>127146</v>
      </c>
      <c r="N16" s="34"/>
      <c r="O16" s="21">
        <f t="shared" si="0"/>
        <v>0.12054897228779456</v>
      </c>
      <c r="P16" s="21">
        <f t="shared" si="1"/>
        <v>6.9933633631874603E-2</v>
      </c>
      <c r="Q16" s="21">
        <f t="shared" si="2"/>
        <v>0.53274288938743397</v>
      </c>
      <c r="R16" s="21">
        <f t="shared" si="3"/>
        <v>0.27677450469289688</v>
      </c>
      <c r="S16" s="21">
        <f t="shared" si="4"/>
        <v>6.4642445597161563E-2</v>
      </c>
      <c r="T16" s="21">
        <f t="shared" si="5"/>
        <v>0.24036019880283985</v>
      </c>
      <c r="U16" s="21">
        <f t="shared" si="6"/>
        <v>0.2496663852978365</v>
      </c>
      <c r="V16" s="21">
        <f t="shared" si="7"/>
        <v>0.44533097030216212</v>
      </c>
      <c r="X16" s="11">
        <f>Balance_on_income!C16</f>
        <v>5033.8999999999996</v>
      </c>
      <c r="Y16" s="11">
        <f>Balance_on_income!D16</f>
        <v>3298.3</v>
      </c>
      <c r="Z16" s="11">
        <f>Balance_on_income!E16</f>
        <v>11233.3</v>
      </c>
      <c r="AA16" s="11">
        <f>Balance_on_income!F16</f>
        <v>2685</v>
      </c>
      <c r="AB16" s="11">
        <f>Balance_on_income!H16</f>
        <v>1222.4000000000001</v>
      </c>
      <c r="AC16" s="11">
        <f>Balance_on_income!I16</f>
        <v>2128.4</v>
      </c>
      <c r="AD16" s="11">
        <f>Balance_on_income!J16</f>
        <v>1075.4000000000001</v>
      </c>
      <c r="AE16" s="11">
        <f>Balance_on_income!K16</f>
        <v>1698.5</v>
      </c>
      <c r="AG16" s="26">
        <f>'Stock-flow'!O16</f>
        <v>-13349.9</v>
      </c>
      <c r="AH16" s="26">
        <f>'Stock-flow'!Z16</f>
        <v>-36084.1</v>
      </c>
      <c r="AI16" s="26">
        <f>'Stock-flow'!AK16</f>
        <v>-55267.5</v>
      </c>
      <c r="AJ16" s="26">
        <f>'Stock-flow'!BE16+'Stock-flow'!AK16</f>
        <v>-75763.592600000004</v>
      </c>
      <c r="AK16" s="26">
        <f>'Stock-flow'!AV16</f>
        <v>7936.7999999999993</v>
      </c>
      <c r="AL16" s="26">
        <f>'Stock-flow'!BE16</f>
        <v>-20496.0926</v>
      </c>
      <c r="AM16" s="26">
        <f>'Stock-flow'!P16</f>
        <v>786.40000000000009</v>
      </c>
      <c r="AN16" s="26">
        <f>'Stock-flow'!AA16</f>
        <v>-66056.600000000006</v>
      </c>
      <c r="AO16" s="26">
        <f>'Stock-flow'!AL16</f>
        <v>-6083.4</v>
      </c>
      <c r="AP16" s="26">
        <f>'Stock-flow'!AW16</f>
        <v>1677.3000000000002</v>
      </c>
      <c r="AQ16" s="26"/>
      <c r="AR16" s="8">
        <f>yield!M16</f>
        <v>1.3734899884159999</v>
      </c>
      <c r="AS16" s="26"/>
      <c r="AU16" s="21">
        <f t="shared" si="8"/>
        <v>6.6726930489343861E-2</v>
      </c>
      <c r="AV16" s="21">
        <f t="shared" si="9"/>
        <v>3.6218873442744437E-2</v>
      </c>
      <c r="AW16" s="21">
        <f t="shared" si="10"/>
        <v>1.9768796414048051E-2</v>
      </c>
      <c r="AX16" s="21">
        <f t="shared" si="11"/>
        <v>4.5642723287828701E-3</v>
      </c>
      <c r="AY16" s="21">
        <f t="shared" si="12"/>
        <v>6.6070731864264598E-2</v>
      </c>
      <c r="AZ16" s="21">
        <f t="shared" si="13"/>
        <v>1.2336174245222153E-3</v>
      </c>
      <c r="BA16" s="21">
        <f t="shared" si="14"/>
        <v>-1.9765033964203038E-4</v>
      </c>
      <c r="BB16" s="21">
        <f t="shared" si="15"/>
        <v>5.695945695671778E-4</v>
      </c>
      <c r="BD16" s="21">
        <f t="shared" si="16"/>
        <v>-0.22644002312880729</v>
      </c>
      <c r="BE16" s="21">
        <f t="shared" si="17"/>
        <v>-0.55801777930029828</v>
      </c>
      <c r="BF16" s="21">
        <f t="shared" si="18"/>
        <v>-0.23826117554673598</v>
      </c>
      <c r="BG16" s="21">
        <f t="shared" si="19"/>
        <v>3.9993053390190214E-2</v>
      </c>
      <c r="BH16" s="21">
        <f t="shared" si="20"/>
        <v>3.7672401091336738E-2</v>
      </c>
      <c r="BI16" s="21">
        <f t="shared" si="21"/>
        <v>-0.47233324123395626</v>
      </c>
      <c r="BJ16" s="21">
        <f t="shared" si="22"/>
        <v>-8.9074598471036381E-2</v>
      </c>
      <c r="BK16" s="21">
        <f t="shared" si="23"/>
        <v>3.9337429163932569E-4</v>
      </c>
      <c r="BM16" s="21">
        <f t="shared" si="43"/>
        <v>1.7787160666924078</v>
      </c>
      <c r="BN16" s="21">
        <f t="shared" si="24"/>
        <v>4.7473525479308004E-3</v>
      </c>
      <c r="BO16" s="21">
        <f t="shared" si="25"/>
        <v>0.88795180354357384</v>
      </c>
      <c r="BP16" s="21">
        <f t="shared" si="26"/>
        <v>0.7711133146353234</v>
      </c>
      <c r="BQ16" s="21">
        <f t="shared" si="27"/>
        <v>0.11490359596557966</v>
      </c>
      <c r="BS16" s="21">
        <f t="shared" si="44"/>
        <v>0.14250509028482986</v>
      </c>
      <c r="BT16" s="21">
        <f t="shared" si="28"/>
        <v>0.39468851449016007</v>
      </c>
      <c r="BU16" s="21">
        <f t="shared" si="29"/>
        <v>-0.54656413738648191</v>
      </c>
      <c r="BV16" s="21">
        <f t="shared" si="30"/>
        <v>0.31818303497093259</v>
      </c>
      <c r="BW16" s="21">
        <f t="shared" si="31"/>
        <v>-2.3802321789780891E-2</v>
      </c>
      <c r="BY16" s="21">
        <f t="shared" si="45"/>
        <v>-8.7080941954520146</v>
      </c>
      <c r="BZ16" s="21">
        <f t="shared" si="32"/>
        <v>-1.9107549789672742</v>
      </c>
      <c r="CA16" s="21">
        <f t="shared" si="33"/>
        <v>-2.1747372685275721</v>
      </c>
      <c r="CB16" s="21">
        <f t="shared" si="34"/>
        <v>-5.7616539070318007</v>
      </c>
      <c r="CC16" s="21">
        <f t="shared" si="35"/>
        <v>1.1390519590746333</v>
      </c>
      <c r="CE16" s="21">
        <f t="shared" si="46"/>
        <v>8.9664318045846993</v>
      </c>
      <c r="CF16" s="21">
        <f t="shared" si="36"/>
        <v>-0.56103707704900563</v>
      </c>
      <c r="CG16" s="21">
        <f t="shared" si="37"/>
        <v>15.036460959016745</v>
      </c>
      <c r="CH16" s="21">
        <f t="shared" si="38"/>
        <v>-5.3217471085016745</v>
      </c>
      <c r="CI16" s="21">
        <f t="shared" si="39"/>
        <v>-0.18724496888136438</v>
      </c>
    </row>
    <row r="17" spans="1:90">
      <c r="A17" s="30">
        <v>2009</v>
      </c>
      <c r="B17" s="63">
        <f t="shared" si="40"/>
        <v>550575</v>
      </c>
      <c r="C17" s="64">
        <f>NFA_in_yen!C17</f>
        <v>68210</v>
      </c>
      <c r="D17" s="64">
        <f>NFA_in_yen!D17</f>
        <v>54687</v>
      </c>
      <c r="E17" s="65">
        <f>NFA_in_yen!E17</f>
        <v>207302</v>
      </c>
      <c r="F17" s="63">
        <f t="shared" si="41"/>
        <v>304079</v>
      </c>
      <c r="G17" s="65">
        <f>NFA_in_yen!G17</f>
        <v>123599</v>
      </c>
      <c r="H17" s="64">
        <f>NFA_in_yen!H17</f>
        <v>96777</v>
      </c>
      <c r="I17" s="63">
        <f t="shared" si="42"/>
        <v>281366</v>
      </c>
      <c r="J17" s="64">
        <f>NFA_in_yen!J17</f>
        <v>18425</v>
      </c>
      <c r="K17" s="64">
        <f>NFA_in_yen!K17</f>
        <v>76372</v>
      </c>
      <c r="L17" s="65">
        <f>NFA_in_yen!L17</f>
        <v>65124</v>
      </c>
      <c r="M17" s="65">
        <f>NFA_in_yen!N17</f>
        <v>121445</v>
      </c>
      <c r="N17" s="34"/>
      <c r="O17" s="21">
        <f t="shared" si="0"/>
        <v>0.12388866185351678</v>
      </c>
      <c r="P17" s="21">
        <f t="shared" si="1"/>
        <v>9.9327067157063076E-2</v>
      </c>
      <c r="Q17" s="21">
        <f t="shared" si="2"/>
        <v>0.55229351132906512</v>
      </c>
      <c r="R17" s="21">
        <f t="shared" si="3"/>
        <v>0.22449075966035509</v>
      </c>
      <c r="S17" s="21">
        <f t="shared" si="4"/>
        <v>6.5484102556812127E-2</v>
      </c>
      <c r="T17" s="21">
        <f t="shared" si="5"/>
        <v>0.27143293788162037</v>
      </c>
      <c r="U17" s="21">
        <f t="shared" si="6"/>
        <v>0.23145653703716867</v>
      </c>
      <c r="V17" s="21">
        <f t="shared" si="7"/>
        <v>0.43162642252439881</v>
      </c>
      <c r="X17" s="11">
        <f>Balance_on_income!C17</f>
        <v>4287</v>
      </c>
      <c r="Y17" s="11">
        <f>Balance_on_income!D17</f>
        <v>2319.1999999999998</v>
      </c>
      <c r="Z17" s="11">
        <f>Balance_on_income!E17</f>
        <v>8756.2999999999993</v>
      </c>
      <c r="AA17" s="11">
        <f>Balance_on_income!F17</f>
        <v>1514.6</v>
      </c>
      <c r="AB17" s="11">
        <f>Balance_on_income!H17</f>
        <v>826.7</v>
      </c>
      <c r="AC17" s="11">
        <f>Balance_on_income!I17</f>
        <v>1361.6</v>
      </c>
      <c r="AD17" s="11">
        <f>Balance_on_income!J17</f>
        <v>921.5</v>
      </c>
      <c r="AE17" s="11">
        <f>Balance_on_income!K17</f>
        <v>989</v>
      </c>
      <c r="AG17" s="26">
        <f>'Stock-flow'!O17</f>
        <v>-519.60000000000036</v>
      </c>
      <c r="AH17" s="26">
        <f>'Stock-flow'!Z17</f>
        <v>16067.8</v>
      </c>
      <c r="AI17" s="26">
        <f>'Stock-flow'!AK17</f>
        <v>15056.7</v>
      </c>
      <c r="AJ17" s="26">
        <f>'Stock-flow'!BE17+'Stock-flow'!AK17</f>
        <v>16324.2032</v>
      </c>
      <c r="AK17" s="26">
        <f>'Stock-flow'!AV17</f>
        <v>734.70000000000073</v>
      </c>
      <c r="AL17" s="26">
        <f>'Stock-flow'!BE17</f>
        <v>1267.5032000000001</v>
      </c>
      <c r="AM17" s="26">
        <f>'Stock-flow'!P17</f>
        <v>-1148.0999999999999</v>
      </c>
      <c r="AN17" s="26">
        <f>'Stock-flow'!AA17</f>
        <v>6708.1</v>
      </c>
      <c r="AO17" s="26">
        <f>'Stock-flow'!AL17</f>
        <v>203.60000000000036</v>
      </c>
      <c r="AP17" s="26">
        <f>'Stock-flow'!AW17</f>
        <v>1560.1000000000004</v>
      </c>
      <c r="AQ17" s="26"/>
      <c r="AR17" s="8">
        <f>yield!M17</f>
        <v>-1.3467189030362301</v>
      </c>
      <c r="AS17" s="26"/>
      <c r="AU17" s="21">
        <f t="shared" si="8"/>
        <v>8.4035253643349961E-2</v>
      </c>
      <c r="AV17" s="21">
        <f t="shared" si="9"/>
        <v>7.9286328043010279E-2</v>
      </c>
      <c r="AW17" s="21">
        <f t="shared" si="10"/>
        <v>4.6181349163326058E-2</v>
      </c>
      <c r="AX17" s="21">
        <f t="shared" si="11"/>
        <v>2.4481747412527843E-2</v>
      </c>
      <c r="AY17" s="21">
        <f t="shared" si="12"/>
        <v>5.9055522150150308E-2</v>
      </c>
      <c r="AZ17" s="21">
        <f t="shared" si="13"/>
        <v>3.3763048137795071E-2</v>
      </c>
      <c r="BA17" s="21">
        <f t="shared" si="14"/>
        <v>2.675503138148061E-2</v>
      </c>
      <c r="BB17" s="21">
        <f t="shared" si="15"/>
        <v>2.1535673424129653E-2</v>
      </c>
      <c r="BD17" s="21">
        <f t="shared" si="16"/>
        <v>5.1202060088650914E-3</v>
      </c>
      <c r="BE17" s="21">
        <f t="shared" si="17"/>
        <v>0.46838319689025076</v>
      </c>
      <c r="BF17" s="21">
        <f t="shared" si="18"/>
        <v>7.4296683979284017E-2</v>
      </c>
      <c r="BG17" s="21">
        <f t="shared" si="19"/>
        <v>1.89047789159833E-2</v>
      </c>
      <c r="BH17" s="21">
        <f t="shared" si="20"/>
        <v>-4.9405577443895954E-2</v>
      </c>
      <c r="BI17" s="21">
        <f t="shared" si="21"/>
        <v>0.11273551053586428</v>
      </c>
      <c r="BJ17" s="21">
        <f t="shared" si="22"/>
        <v>1.6546281985277522E-2</v>
      </c>
      <c r="BK17" s="21">
        <f t="shared" si="23"/>
        <v>2.6088676296822655E-2</v>
      </c>
      <c r="BM17" s="21">
        <f t="shared" si="43"/>
        <v>1.8039166121330359</v>
      </c>
      <c r="BN17" s="21">
        <f t="shared" si="24"/>
        <v>0.23130159468055683</v>
      </c>
      <c r="BO17" s="21">
        <f t="shared" si="25"/>
        <v>0.70627964933937248</v>
      </c>
      <c r="BP17" s="21">
        <f t="shared" si="26"/>
        <v>0.75996656027496345</v>
      </c>
      <c r="BQ17" s="21">
        <f t="shared" si="27"/>
        <v>0.10636880783814318</v>
      </c>
      <c r="BS17" s="21">
        <f t="shared" si="44"/>
        <v>8.1156660587948737E-2</v>
      </c>
      <c r="BT17" s="21">
        <f t="shared" si="28"/>
        <v>0.39998541380413521</v>
      </c>
      <c r="BU17" s="21">
        <f t="shared" si="29"/>
        <v>-0.96333084386074941</v>
      </c>
      <c r="BV17" s="21">
        <f t="shared" si="30"/>
        <v>1.0323287812786202</v>
      </c>
      <c r="BW17" s="21">
        <f t="shared" si="31"/>
        <v>-0.38782669063405723</v>
      </c>
      <c r="BY17" s="21">
        <f t="shared" si="45"/>
        <v>8.0224954625376714</v>
      </c>
      <c r="BZ17" s="21">
        <f t="shared" si="32"/>
        <v>0.50488535744524476</v>
      </c>
      <c r="CA17" s="21">
        <f t="shared" si="33"/>
        <v>5.5177641797720938</v>
      </c>
      <c r="CB17" s="21">
        <f t="shared" si="34"/>
        <v>2.2592225068456711</v>
      </c>
      <c r="CC17" s="21">
        <f t="shared" si="35"/>
        <v>-0.25937658152533816</v>
      </c>
      <c r="CE17" s="21">
        <f t="shared" si="46"/>
        <v>-4.1691167561601006</v>
      </c>
      <c r="CF17" s="21">
        <f t="shared" si="36"/>
        <v>-0.12379206500685745</v>
      </c>
      <c r="CG17" s="21">
        <f t="shared" si="37"/>
        <v>-4.9519032631611939</v>
      </c>
      <c r="CH17" s="21">
        <f t="shared" si="38"/>
        <v>1.2857754613189185</v>
      </c>
      <c r="CI17" s="21">
        <f t="shared" si="39"/>
        <v>-0.37919688931096712</v>
      </c>
    </row>
    <row r="18" spans="1:90">
      <c r="A18" s="30">
        <v>2010</v>
      </c>
      <c r="B18" s="63">
        <f t="shared" si="40"/>
        <v>555927</v>
      </c>
      <c r="C18" s="64">
        <f>NFA_in_yen!C18</f>
        <v>67691</v>
      </c>
      <c r="D18" s="64">
        <f>NFA_in_yen!D18</f>
        <v>55262</v>
      </c>
      <c r="E18" s="65">
        <f>NFA_in_yen!E18</f>
        <v>213944</v>
      </c>
      <c r="F18" s="63">
        <f t="shared" si="41"/>
        <v>303274</v>
      </c>
      <c r="G18" s="65">
        <f>NFA_in_yen!G18</f>
        <v>129700</v>
      </c>
      <c r="H18" s="64">
        <f>NFA_in_yen!H18</f>
        <v>89330</v>
      </c>
      <c r="I18" s="63">
        <f t="shared" si="42"/>
        <v>299041</v>
      </c>
      <c r="J18" s="64">
        <f>NFA_in_yen!J18</f>
        <v>17502</v>
      </c>
      <c r="K18" s="64">
        <f>NFA_in_yen!K18</f>
        <v>80537</v>
      </c>
      <c r="L18" s="65">
        <f>NFA_in_yen!L18</f>
        <v>71514</v>
      </c>
      <c r="M18" s="65">
        <f>NFA_in_yen!N18</f>
        <v>129488</v>
      </c>
      <c r="N18" s="34"/>
      <c r="O18" s="21">
        <f t="shared" si="0"/>
        <v>0.12176238966626914</v>
      </c>
      <c r="P18" s="21">
        <f t="shared" si="1"/>
        <v>9.9405137724917117E-2</v>
      </c>
      <c r="Q18" s="21">
        <f t="shared" si="2"/>
        <v>0.54552845967186336</v>
      </c>
      <c r="R18" s="21">
        <f t="shared" si="3"/>
        <v>0.23330401293695036</v>
      </c>
      <c r="S18" s="21">
        <f t="shared" si="4"/>
        <v>5.852709160282369E-2</v>
      </c>
      <c r="T18" s="21">
        <f t="shared" si="5"/>
        <v>0.26931758521406762</v>
      </c>
      <c r="U18" s="21">
        <f t="shared" si="6"/>
        <v>0.2391444651402316</v>
      </c>
      <c r="V18" s="21">
        <f t="shared" si="7"/>
        <v>0.43301085804287709</v>
      </c>
      <c r="X18" s="11">
        <f>Balance_on_income!C18</f>
        <v>3357.8</v>
      </c>
      <c r="Y18" s="11">
        <f>Balance_on_income!D18</f>
        <v>3144.5</v>
      </c>
      <c r="Z18" s="11">
        <f>Balance_on_income!E18</f>
        <v>8224.9</v>
      </c>
      <c r="AA18" s="11">
        <f>Balance_on_income!F18</f>
        <v>1209</v>
      </c>
      <c r="AB18" s="11">
        <f>Balance_on_income!H18</f>
        <v>506.6</v>
      </c>
      <c r="AC18" s="11">
        <f>Balance_on_income!I18</f>
        <v>1505.9</v>
      </c>
      <c r="AD18" s="11">
        <f>Balance_on_income!J18</f>
        <v>870.4</v>
      </c>
      <c r="AE18" s="11">
        <f>Balance_on_income!K18</f>
        <v>634</v>
      </c>
      <c r="AG18" s="26">
        <f>'Stock-flow'!O18</f>
        <v>-5457.8</v>
      </c>
      <c r="AH18" s="26">
        <f>'Stock-flow'!Z18</f>
        <v>-1348.3</v>
      </c>
      <c r="AI18" s="26">
        <f>'Stock-flow'!AK18</f>
        <v>-14505.3</v>
      </c>
      <c r="AJ18" s="26">
        <f>'Stock-flow'!BE18+'Stock-flow'!AK18</f>
        <v>-25744.796199999997</v>
      </c>
      <c r="AK18" s="26">
        <f>'Stock-flow'!AV18</f>
        <v>-5799.7999999999993</v>
      </c>
      <c r="AL18" s="26">
        <f>'Stock-flow'!BE18</f>
        <v>-11239.4962</v>
      </c>
      <c r="AM18" s="26">
        <f>'Stock-flow'!P18</f>
        <v>-813.2</v>
      </c>
      <c r="AN18" s="26">
        <f>'Stock-flow'!AA18</f>
        <v>713.5</v>
      </c>
      <c r="AO18" s="26">
        <f>'Stock-flow'!AL18</f>
        <v>20.300000000000182</v>
      </c>
      <c r="AP18" s="26">
        <f>'Stock-flow'!AW18</f>
        <v>-3866.6000000000004</v>
      </c>
      <c r="AQ18" s="26"/>
      <c r="AR18" s="8">
        <f>yield!M18</f>
        <v>-0.71978158351947696</v>
      </c>
      <c r="AS18" s="26"/>
      <c r="AU18" s="21">
        <f t="shared" si="8"/>
        <v>5.6834284562380821E-2</v>
      </c>
      <c r="AV18" s="21">
        <f t="shared" si="9"/>
        <v>6.5166828953864497E-2</v>
      </c>
      <c r="AW18" s="21">
        <f t="shared" si="10"/>
        <v>3.4494665119919388E-2</v>
      </c>
      <c r="AX18" s="21">
        <f t="shared" si="11"/>
        <v>1.7102549373376519E-2</v>
      </c>
      <c r="AY18" s="21">
        <f t="shared" si="12"/>
        <v>3.494459158751706E-2</v>
      </c>
      <c r="AZ18" s="21">
        <f t="shared" si="13"/>
        <v>2.711091466767912E-2</v>
      </c>
      <c r="BA18" s="21">
        <f t="shared" si="14"/>
        <v>2.0712170628339743E-2</v>
      </c>
      <c r="BB18" s="21">
        <f t="shared" si="15"/>
        <v>1.2508318580427336E-2</v>
      </c>
      <c r="BD18" s="21">
        <f t="shared" si="16"/>
        <v>-7.3344766896349611E-2</v>
      </c>
      <c r="BE18" s="21">
        <f t="shared" si="17"/>
        <v>-1.7583601678644034E-2</v>
      </c>
      <c r="BF18" s="21">
        <f t="shared" si="18"/>
        <v>-7.802864789232411E-2</v>
      </c>
      <c r="BG18" s="21">
        <f t="shared" si="19"/>
        <v>-4.0014529243764141E-2</v>
      </c>
      <c r="BH18" s="21">
        <f t="shared" si="20"/>
        <v>-3.7205668928086966E-2</v>
      </c>
      <c r="BI18" s="21">
        <f t="shared" si="21"/>
        <v>1.6660161773948579E-2</v>
      </c>
      <c r="BJ18" s="21">
        <f t="shared" si="22"/>
        <v>7.5639729592775762E-3</v>
      </c>
      <c r="BK18" s="21">
        <f t="shared" si="23"/>
        <v>-2.4819108238297249E-2</v>
      </c>
      <c r="BM18" s="21">
        <f t="shared" si="43"/>
        <v>1.6035653564900123</v>
      </c>
      <c r="BN18" s="21">
        <f t="shared" si="24"/>
        <v>0.20726558353716534</v>
      </c>
      <c r="BO18" s="21">
        <f t="shared" si="25"/>
        <v>0.70548054862488974</v>
      </c>
      <c r="BP18" s="21">
        <f t="shared" si="26"/>
        <v>0.54010153621914492</v>
      </c>
      <c r="BQ18" s="21">
        <f t="shared" si="27"/>
        <v>0.15071768810881228</v>
      </c>
      <c r="BS18" s="21">
        <f t="shared" si="44"/>
        <v>5.288453899543627E-2</v>
      </c>
      <c r="BT18" s="21">
        <f t="shared" si="28"/>
        <v>0.26801524071408117</v>
      </c>
      <c r="BU18" s="21">
        <f t="shared" si="29"/>
        <v>-0.79407707072416145</v>
      </c>
      <c r="BV18" s="21">
        <f t="shared" si="30"/>
        <v>0.88561970708505822</v>
      </c>
      <c r="BW18" s="21">
        <f t="shared" si="31"/>
        <v>-0.30667333807954161</v>
      </c>
      <c r="BY18" s="21">
        <f t="shared" si="45"/>
        <v>-4.8296588170112909</v>
      </c>
      <c r="BZ18" s="21">
        <f t="shared" si="32"/>
        <v>-0.34218804427727989</v>
      </c>
      <c r="CA18" s="21">
        <f t="shared" si="33"/>
        <v>-0.63481089551133607</v>
      </c>
      <c r="CB18" s="21">
        <f t="shared" si="34"/>
        <v>-3.3541610366117767</v>
      </c>
      <c r="CC18" s="21">
        <f t="shared" si="35"/>
        <v>-0.49849884061089783</v>
      </c>
      <c r="CE18" s="21">
        <f t="shared" si="46"/>
        <v>-0.77380173398861152</v>
      </c>
      <c r="CF18" s="21">
        <f t="shared" si="36"/>
        <v>-0.32283247421924244</v>
      </c>
      <c r="CG18" s="21">
        <f t="shared" si="37"/>
        <v>7.9464714429706793E-3</v>
      </c>
      <c r="CH18" s="21">
        <f t="shared" si="38"/>
        <v>-1.1303836549990347</v>
      </c>
      <c r="CI18" s="21">
        <f t="shared" si="39"/>
        <v>0.67146792378669484</v>
      </c>
    </row>
    <row r="19" spans="1:90">
      <c r="A19" s="30">
        <v>2011</v>
      </c>
      <c r="B19" s="63">
        <f t="shared" si="40"/>
        <v>577322</v>
      </c>
      <c r="C19" s="64">
        <f>NFA_in_yen!C19</f>
        <v>74289</v>
      </c>
      <c r="D19" s="64">
        <f>NFA_in_yen!D19</f>
        <v>51750</v>
      </c>
      <c r="E19" s="65">
        <f>NFA_in_yen!E19</f>
        <v>210574</v>
      </c>
      <c r="F19" s="63">
        <f t="shared" si="41"/>
        <v>311091</v>
      </c>
      <c r="G19" s="65">
        <f>NFA_in_yen!G19</f>
        <v>140192</v>
      </c>
      <c r="H19" s="64">
        <f>NFA_in_yen!H19</f>
        <v>100517</v>
      </c>
      <c r="I19" s="63">
        <f t="shared" si="42"/>
        <v>310441</v>
      </c>
      <c r="J19" s="64">
        <f>NFA_in_yen!J19</f>
        <v>17548</v>
      </c>
      <c r="K19" s="64">
        <f>NFA_in_yen!K19</f>
        <v>65841</v>
      </c>
      <c r="L19" s="65">
        <f>NFA_in_yen!L19</f>
        <v>91639</v>
      </c>
      <c r="M19" s="65">
        <f>NFA_in_yen!N19</f>
        <v>135413</v>
      </c>
      <c r="N19" s="34"/>
      <c r="O19" s="21">
        <f t="shared" si="0"/>
        <v>0.1286786230214681</v>
      </c>
      <c r="P19" s="21">
        <f t="shared" si="1"/>
        <v>8.9638018298280678E-2</v>
      </c>
      <c r="Q19" s="21">
        <f t="shared" si="2"/>
        <v>0.53885180194068472</v>
      </c>
      <c r="R19" s="21">
        <f t="shared" si="3"/>
        <v>0.24283155673956647</v>
      </c>
      <c r="S19" s="21">
        <f t="shared" si="4"/>
        <v>5.6526038764209627E-2</v>
      </c>
      <c r="T19" s="21">
        <f t="shared" si="5"/>
        <v>0.21208860942981114</v>
      </c>
      <c r="U19" s="21">
        <f t="shared" si="6"/>
        <v>0.29518974619976096</v>
      </c>
      <c r="V19" s="21">
        <f t="shared" si="7"/>
        <v>0.43619560560621823</v>
      </c>
      <c r="X19" s="11">
        <f>Balance_on_income!C19</f>
        <v>4701.1000000000004</v>
      </c>
      <c r="Y19" s="11">
        <f>Balance_on_income!D19</f>
        <v>4364</v>
      </c>
      <c r="Z19" s="11">
        <f>Balance_on_income!E19</f>
        <v>7816.6</v>
      </c>
      <c r="AA19" s="11">
        <f>Balance_on_income!F19</f>
        <v>1247.0999999999999</v>
      </c>
      <c r="AB19" s="11">
        <f>Balance_on_income!H19</f>
        <v>879.4</v>
      </c>
      <c r="AC19" s="11">
        <f>Balance_on_income!I19</f>
        <v>1742.6</v>
      </c>
      <c r="AD19" s="11">
        <f>Balance_on_income!J19</f>
        <v>899.5</v>
      </c>
      <c r="AE19" s="11">
        <f>Balance_on_income!K19</f>
        <v>563.20000000000005</v>
      </c>
      <c r="AG19" s="26">
        <f>'Stock-flow'!O19</f>
        <v>-1989.2999999999993</v>
      </c>
      <c r="AH19" s="26">
        <f>'Stock-flow'!Z19</f>
        <v>-4476.3999999999996</v>
      </c>
      <c r="AI19" s="26">
        <f>'Stock-flow'!AK19</f>
        <v>-10747.2</v>
      </c>
      <c r="AJ19" s="26">
        <f>'Stock-flow'!BE19+'Stock-flow'!AK19</f>
        <v>-13349.9426</v>
      </c>
      <c r="AK19" s="26">
        <f>'Stock-flow'!AV19</f>
        <v>2849.8999999999996</v>
      </c>
      <c r="AL19" s="26">
        <f>'Stock-flow'!BE19</f>
        <v>-2602.7425999999996</v>
      </c>
      <c r="AM19" s="26">
        <f>'Stock-flow'!P19</f>
        <v>186.1</v>
      </c>
      <c r="AN19" s="26">
        <f>'Stock-flow'!AA19</f>
        <v>-15295.9</v>
      </c>
      <c r="AO19" s="26">
        <f>'Stock-flow'!AL19</f>
        <v>-542.20000000000073</v>
      </c>
      <c r="AP19" s="26">
        <f>'Stock-flow'!AW19</f>
        <v>2683.8</v>
      </c>
      <c r="AQ19" s="26"/>
      <c r="AR19" s="8">
        <f>yield!M19</f>
        <v>-0.28333333333330502</v>
      </c>
      <c r="AS19" s="26"/>
      <c r="AU19" s="21">
        <f t="shared" si="8"/>
        <v>7.2488126175641598E-2</v>
      </c>
      <c r="AV19" s="21">
        <f t="shared" si="9"/>
        <v>8.2035039587421199E-2</v>
      </c>
      <c r="AW19" s="21">
        <f t="shared" si="10"/>
        <v>2.8688670406458394E-2</v>
      </c>
      <c r="AX19" s="21">
        <f t="shared" si="11"/>
        <v>1.2483970581772752E-2</v>
      </c>
      <c r="AY19" s="21">
        <f t="shared" si="12"/>
        <v>5.3229837413294678E-2</v>
      </c>
      <c r="AZ19" s="21">
        <f t="shared" si="13"/>
        <v>2.4540123576434647E-2</v>
      </c>
      <c r="BA19" s="21">
        <f t="shared" si="14"/>
        <v>1.5455079488928769E-2</v>
      </c>
      <c r="BB19" s="21">
        <f t="shared" si="15"/>
        <v>7.2031801294405451E-3</v>
      </c>
      <c r="BD19" s="21">
        <f t="shared" si="16"/>
        <v>-2.6630072624579948E-2</v>
      </c>
      <c r="BE19" s="21">
        <f t="shared" si="17"/>
        <v>-7.8391998348523395E-2</v>
      </c>
      <c r="BF19" s="21">
        <f t="shared" si="18"/>
        <v>-4.1303102293506311E-2</v>
      </c>
      <c r="BG19" s="21">
        <f t="shared" si="19"/>
        <v>2.4876832340822386E-2</v>
      </c>
      <c r="BH19" s="21">
        <f t="shared" si="20"/>
        <v>1.3504667062905762E-2</v>
      </c>
      <c r="BI19" s="21">
        <f t="shared" si="21"/>
        <v>-0.18762214867035654</v>
      </c>
      <c r="BJ19" s="21">
        <f t="shared" si="22"/>
        <v>-4.7618909392258546E-3</v>
      </c>
      <c r="BK19" s="21">
        <f t="shared" si="23"/>
        <v>2.3626520043124488E-2</v>
      </c>
      <c r="BM19" s="21">
        <f t="shared" si="43"/>
        <v>1.9287229288877552</v>
      </c>
      <c r="BN19" s="21">
        <f t="shared" si="24"/>
        <v>0.17360334455469628</v>
      </c>
      <c r="BO19" s="21">
        <f t="shared" si="25"/>
        <v>1.0599840993359595</v>
      </c>
      <c r="BP19" s="21">
        <f t="shared" si="26"/>
        <v>0.51920202455123732</v>
      </c>
      <c r="BQ19" s="21">
        <f t="shared" si="27"/>
        <v>0.17593346044586194</v>
      </c>
      <c r="BS19" s="21">
        <f t="shared" si="44"/>
        <v>-2.8267712317891242E-2</v>
      </c>
      <c r="BT19" s="21">
        <f t="shared" si="28"/>
        <v>0.39749064497378833</v>
      </c>
      <c r="BU19" s="21">
        <f t="shared" si="29"/>
        <v>-0.90542234073631522</v>
      </c>
      <c r="BV19" s="21">
        <f t="shared" si="30"/>
        <v>0.67624692132770103</v>
      </c>
      <c r="BW19" s="21">
        <f t="shared" si="31"/>
        <v>-0.19658293788306544</v>
      </c>
      <c r="BY19" s="21">
        <f t="shared" si="45"/>
        <v>0.25999847711794782</v>
      </c>
      <c r="BZ19" s="21">
        <f t="shared" si="32"/>
        <v>-0.3617935699563436</v>
      </c>
      <c r="CA19" s="21">
        <f t="shared" si="33"/>
        <v>2.0137819226850469</v>
      </c>
      <c r="CB19" s="21">
        <f t="shared" si="34"/>
        <v>-1.4336449594770089</v>
      </c>
      <c r="CC19" s="21">
        <f t="shared" si="35"/>
        <v>4.1655083866253308E-2</v>
      </c>
      <c r="CE19" s="21">
        <f t="shared" si="46"/>
        <v>1.0284548868722199</v>
      </c>
      <c r="CF19" s="21">
        <f t="shared" si="36"/>
        <v>-4.1499446644803581E-2</v>
      </c>
      <c r="CG19" s="21">
        <f t="shared" si="37"/>
        <v>2.25995573933583</v>
      </c>
      <c r="CH19" s="21">
        <f t="shared" si="38"/>
        <v>-0.70567883173585333</v>
      </c>
      <c r="CI19" s="21">
        <f t="shared" si="39"/>
        <v>-0.48432257408295304</v>
      </c>
    </row>
    <row r="20" spans="1:90">
      <c r="A20" s="30">
        <v>2012</v>
      </c>
      <c r="B20" s="63">
        <f t="shared" si="40"/>
        <v>657280</v>
      </c>
      <c r="C20" s="64">
        <f>NFA_in_yen!C20</f>
        <v>89813</v>
      </c>
      <c r="D20" s="64">
        <f>NFA_in_yen!D20</f>
        <v>59475</v>
      </c>
      <c r="E20" s="65">
        <f>NFA_in_yen!E20</f>
        <v>245637</v>
      </c>
      <c r="F20" s="63">
        <f t="shared" si="41"/>
        <v>355101</v>
      </c>
      <c r="G20" s="65">
        <f>NFA_in_yen!G20</f>
        <v>152891</v>
      </c>
      <c r="H20" s="64">
        <f>NFA_in_yen!H20</f>
        <v>109464</v>
      </c>
      <c r="I20" s="63">
        <f t="shared" si="42"/>
        <v>360262</v>
      </c>
      <c r="J20" s="64">
        <f>NFA_in_yen!J20</f>
        <v>17808</v>
      </c>
      <c r="K20" s="64">
        <f>NFA_in_yen!K20</f>
        <v>83556</v>
      </c>
      <c r="L20" s="65">
        <f>NFA_in_yen!L20</f>
        <v>96948</v>
      </c>
      <c r="M20" s="65">
        <f>NFA_in_yen!N20</f>
        <v>161950</v>
      </c>
      <c r="N20" s="34"/>
      <c r="O20" s="21">
        <f t="shared" si="0"/>
        <v>0.13664343962999026</v>
      </c>
      <c r="P20" s="21">
        <f t="shared" si="1"/>
        <v>9.0486550632911389E-2</v>
      </c>
      <c r="Q20" s="21">
        <f t="shared" si="2"/>
        <v>0.5402583373904577</v>
      </c>
      <c r="R20" s="21">
        <f t="shared" si="3"/>
        <v>0.23261167234664071</v>
      </c>
      <c r="S20" s="21">
        <f t="shared" si="4"/>
        <v>4.9430692107410718E-2</v>
      </c>
      <c r="T20" s="21">
        <f t="shared" si="5"/>
        <v>0.23193120562257469</v>
      </c>
      <c r="U20" s="21">
        <f t="shared" si="6"/>
        <v>0.26910415197828247</v>
      </c>
      <c r="V20" s="21">
        <f t="shared" si="7"/>
        <v>0.44953395029173215</v>
      </c>
      <c r="X20" s="11">
        <f>Balance_on_income!C20</f>
        <v>5433.5</v>
      </c>
      <c r="Y20" s="11">
        <f>Balance_on_income!D20</f>
        <v>4613.1000000000004</v>
      </c>
      <c r="Z20" s="11">
        <f>Balance_on_income!E20</f>
        <v>7501.2</v>
      </c>
      <c r="AA20" s="11">
        <f>Balance_on_income!F20</f>
        <v>1203.0999999999999</v>
      </c>
      <c r="AB20" s="11">
        <f>Balance_on_income!H20</f>
        <v>1219.5</v>
      </c>
      <c r="AC20" s="11">
        <f>Balance_on_income!I20</f>
        <v>1783.3</v>
      </c>
      <c r="AD20" s="11">
        <f>Balance_on_income!J20</f>
        <v>934.7</v>
      </c>
      <c r="AE20" s="11">
        <f>Balance_on_income!K20</f>
        <v>535.6</v>
      </c>
      <c r="AG20" s="26">
        <f>'Stock-flow'!O20</f>
        <v>5745.6</v>
      </c>
      <c r="AH20" s="26">
        <f>'Stock-flow'!Z20</f>
        <v>9512.9</v>
      </c>
      <c r="AI20" s="26">
        <f>'Stock-flow'!AK20</f>
        <v>21272.5</v>
      </c>
      <c r="AJ20" s="26">
        <f>'Stock-flow'!BE20+'Stock-flow'!AK20</f>
        <v>33271.008099999999</v>
      </c>
      <c r="AK20" s="26">
        <f>'Stock-flow'!AV20</f>
        <v>3232.3999999999996</v>
      </c>
      <c r="AL20" s="26">
        <f>'Stock-flow'!BE20</f>
        <v>11998.508099999999</v>
      </c>
      <c r="AM20" s="26">
        <f>'Stock-flow'!P20</f>
        <v>121.9</v>
      </c>
      <c r="AN20" s="26">
        <f>'Stock-flow'!AA20</f>
        <v>14811.2</v>
      </c>
      <c r="AO20" s="26">
        <f>'Stock-flow'!AL20</f>
        <v>-568.10000000000036</v>
      </c>
      <c r="AP20" s="26">
        <f>'Stock-flow'!AW20</f>
        <v>11726.1</v>
      </c>
      <c r="AQ20" s="26"/>
      <c r="AR20" s="8">
        <f>yield!M20</f>
        <v>-3.3428046130775199E-2</v>
      </c>
      <c r="AS20" s="26"/>
      <c r="AU20" s="21">
        <f t="shared" si="8"/>
        <v>7.34988838929167E-2</v>
      </c>
      <c r="AV20" s="21">
        <f t="shared" si="9"/>
        <v>8.9506229630545775E-2</v>
      </c>
      <c r="AW20" s="21">
        <f t="shared" si="10"/>
        <v>2.4455013999356456E-2</v>
      </c>
      <c r="AX20" s="21">
        <f t="shared" si="11"/>
        <v>8.9190640301235469E-3</v>
      </c>
      <c r="AY20" s="21">
        <f t="shared" si="12"/>
        <v>6.9852730020721676E-2</v>
      </c>
      <c r="AZ20" s="21">
        <f t="shared" si="13"/>
        <v>2.7428396307733749E-2</v>
      </c>
      <c r="BA20" s="21">
        <f t="shared" si="14"/>
        <v>1.0537608737574145E-2</v>
      </c>
      <c r="BB20" s="21">
        <f t="shared" si="15"/>
        <v>4.2910219636553837E-3</v>
      </c>
      <c r="BD20" s="21">
        <f t="shared" si="16"/>
        <v>7.7701449061632566E-2</v>
      </c>
      <c r="BE20" s="21">
        <f t="shared" si="17"/>
        <v>0.18422001620267814</v>
      </c>
      <c r="BF20" s="21">
        <f t="shared" si="18"/>
        <v>0.10731959485804121</v>
      </c>
      <c r="BG20" s="21">
        <f t="shared" si="19"/>
        <v>2.3399052775393336E-2</v>
      </c>
      <c r="BH20" s="21">
        <f t="shared" si="20"/>
        <v>7.2833757396111309E-3</v>
      </c>
      <c r="BI20" s="21">
        <f t="shared" si="21"/>
        <v>0.22536367111660449</v>
      </c>
      <c r="BJ20" s="21">
        <f t="shared" si="22"/>
        <v>-5.8670063789311167E-3</v>
      </c>
      <c r="BK20" s="21">
        <f t="shared" si="23"/>
        <v>8.6958432156068355E-2</v>
      </c>
      <c r="BM20" s="21">
        <f t="shared" si="43"/>
        <v>1.7078040251061379</v>
      </c>
      <c r="BN20" s="21">
        <f t="shared" si="24"/>
        <v>3.3764234735920932E-2</v>
      </c>
      <c r="BO20" s="21">
        <f t="shared" si="25"/>
        <v>0.93652676525793188</v>
      </c>
      <c r="BP20" s="21">
        <f t="shared" si="26"/>
        <v>0.58038471153174531</v>
      </c>
      <c r="BQ20" s="21">
        <f t="shared" si="27"/>
        <v>0.15712831358053989</v>
      </c>
      <c r="BS20" s="21">
        <f t="shared" si="44"/>
        <v>9.982470048222078E-2</v>
      </c>
      <c r="BT20" s="21">
        <f t="shared" si="28"/>
        <v>0.51715947006588892</v>
      </c>
      <c r="BU20" s="21">
        <f t="shared" si="29"/>
        <v>-0.71593570349433611</v>
      </c>
      <c r="BV20" s="21">
        <f t="shared" si="30"/>
        <v>0.42631871959235501</v>
      </c>
      <c r="BW20" s="21">
        <f t="shared" si="31"/>
        <v>-0.12771778568168704</v>
      </c>
      <c r="BY20" s="21">
        <f t="shared" si="45"/>
        <v>2.5935701153368722</v>
      </c>
      <c r="BZ20" s="21">
        <f t="shared" si="32"/>
        <v>0.65208777266020179</v>
      </c>
      <c r="CA20" s="21">
        <f t="shared" si="33"/>
        <v>-0.62070681247936665</v>
      </c>
      <c r="CB20" s="21">
        <f t="shared" si="34"/>
        <v>4.720116406221984</v>
      </c>
      <c r="CC20" s="21">
        <f t="shared" si="35"/>
        <v>-2.1579272510659466</v>
      </c>
      <c r="CE20" s="21">
        <f>SUM(CF20:CI20)</f>
        <v>-2.0320456869024017</v>
      </c>
      <c r="CF20" s="21">
        <f t="shared" si="36"/>
        <v>0.30659373660300426</v>
      </c>
      <c r="CG20" s="21">
        <f t="shared" si="37"/>
        <v>-2.5076882315039049</v>
      </c>
      <c r="CH20" s="21">
        <f t="shared" si="38"/>
        <v>1.2360073134528962</v>
      </c>
      <c r="CI20" s="21">
        <f t="shared" si="39"/>
        <v>-1.0669585054543973</v>
      </c>
    </row>
    <row r="21" spans="1:90">
      <c r="A21" s="30">
        <v>2013</v>
      </c>
      <c r="B21" s="63">
        <f t="shared" ref="B21" si="47">C21+D21+E21+G21+H21</f>
        <v>788868</v>
      </c>
      <c r="C21" s="64">
        <f>NFA_in_yen!C21</f>
        <v>117726</v>
      </c>
      <c r="D21" s="64">
        <f>NFA_in_yen!D21</f>
        <v>74760</v>
      </c>
      <c r="E21" s="65">
        <f>NFA_in_yen!E21</f>
        <v>284455</v>
      </c>
      <c r="F21" s="63">
        <f t="shared" ref="F21" si="48">E21+H21</f>
        <v>417984</v>
      </c>
      <c r="G21" s="65">
        <f>NFA_in_yen!G21</f>
        <v>178398</v>
      </c>
      <c r="H21" s="64">
        <f>NFA_in_yen!H21</f>
        <v>133529</v>
      </c>
      <c r="I21" s="63">
        <f t="shared" ref="I21" si="49">J21+K21+L21+M21</f>
        <v>463413</v>
      </c>
      <c r="J21" s="64">
        <f>NFA_in_yen!J21</f>
        <v>17976</v>
      </c>
      <c r="K21" s="64">
        <f>NFA_in_yen!K21</f>
        <v>150947</v>
      </c>
      <c r="L21" s="65">
        <f>NFA_in_yen!L21</f>
        <v>100914</v>
      </c>
      <c r="M21" s="65">
        <f>NFA_in_yen!N21</f>
        <v>193576</v>
      </c>
      <c r="N21" s="34"/>
      <c r="O21" s="21">
        <f t="shared" ref="O21" si="50">C21/B21</f>
        <v>0.14923409239568597</v>
      </c>
      <c r="P21" s="21">
        <f t="shared" ref="P21" si="51">D21/B21</f>
        <v>9.4768706551666443E-2</v>
      </c>
      <c r="Q21" s="21">
        <f t="shared" ref="Q21" si="52">F21/B21</f>
        <v>0.52985290314729461</v>
      </c>
      <c r="R21" s="21">
        <f t="shared" ref="R21" si="53">G21/B21</f>
        <v>0.22614429790535298</v>
      </c>
      <c r="S21" s="21">
        <f t="shared" ref="S21" si="54">J21/I21</f>
        <v>3.8790452576859084E-2</v>
      </c>
      <c r="T21" s="21">
        <f t="shared" ref="T21" si="55">K21/I21</f>
        <v>0.32572888546501716</v>
      </c>
      <c r="U21" s="21">
        <f t="shared" ref="U21" si="56">L21/I21</f>
        <v>0.21776255737322864</v>
      </c>
      <c r="V21" s="21">
        <f t="shared" ref="V21" si="57">M21/I21</f>
        <v>0.41771810458489511</v>
      </c>
      <c r="X21" s="11">
        <f>Balance_on_income!C21</f>
        <v>6658.6</v>
      </c>
      <c r="Y21" s="11">
        <f>Balance_on_income!D21</f>
        <v>5257</v>
      </c>
      <c r="Z21" s="11">
        <f>Balance_on_income!E21</f>
        <v>8512.4</v>
      </c>
      <c r="AA21" s="11">
        <f>Balance_on_income!F21</f>
        <v>1233.4000000000001</v>
      </c>
      <c r="AB21" s="11">
        <f>Balance_on_income!H21</f>
        <v>1271.9000000000001</v>
      </c>
      <c r="AC21" s="11">
        <f>Balance_on_income!I21</f>
        <v>2221.3000000000002</v>
      </c>
      <c r="AD21" s="11">
        <f>Balance_on_income!J21</f>
        <v>1030.3</v>
      </c>
      <c r="AE21" s="11">
        <f>Balance_on_income!K21</f>
        <v>658</v>
      </c>
      <c r="AG21" s="26">
        <f>'Stock-flow'!O21</f>
        <v>14664.5</v>
      </c>
      <c r="AH21" s="26">
        <f>'Stock-flow'!Z21</f>
        <v>21911.4</v>
      </c>
      <c r="AI21" s="26">
        <f>'Stock-flow'!AK21</f>
        <v>39333.9</v>
      </c>
      <c r="AJ21" s="26">
        <f>'Stock-flow'!BE21+'Stock-flow'!AK21</f>
        <v>59548.521800000002</v>
      </c>
      <c r="AK21" s="26">
        <f>'Stock-flow'!AV21</f>
        <v>8583.5999999999985</v>
      </c>
      <c r="AL21" s="26">
        <f>'Stock-flow'!BE21</f>
        <v>20214.621800000001</v>
      </c>
      <c r="AM21" s="26">
        <f>'Stock-flow'!P21</f>
        <v>-57</v>
      </c>
      <c r="AN21" s="26">
        <f>'Stock-flow'!AA21</f>
        <v>50699</v>
      </c>
      <c r="AO21" s="26">
        <f>'Stock-flow'!AL21</f>
        <v>2316.6</v>
      </c>
      <c r="AP21" s="26">
        <f>'Stock-flow'!AW21</f>
        <v>16129.9</v>
      </c>
      <c r="AQ21" s="26"/>
      <c r="AR21" s="8">
        <f>yield!M21</f>
        <v>0.35947166025784699</v>
      </c>
      <c r="AS21" s="26"/>
      <c r="AU21" s="21">
        <f t="shared" ref="AU21" si="58">(1+X21/C20)/(1+AR21/100)-1</f>
        <v>7.0291094579486124E-2</v>
      </c>
      <c r="AV21" s="21">
        <f t="shared" ref="AV21" si="59">(1+Y21/D20)/(1+AR21/100)-1</f>
        <v>8.4491639762677373E-2</v>
      </c>
      <c r="AW21" s="21">
        <f t="shared" ref="AW21" si="60">(1+Z21/F20)/(1+AR21/100)-1</f>
        <v>2.0304067440606755E-2</v>
      </c>
      <c r="AX21" s="21">
        <f t="shared" ref="AX21" si="61">(1+AA21/G20)/(1+AR21/100)-1</f>
        <v>4.4564488455778317E-3</v>
      </c>
      <c r="AY21" s="21">
        <f t="shared" ref="AY21" si="62">(1+AB21/J20)/(1+AR21/100)-1</f>
        <v>6.7585289410330818E-2</v>
      </c>
      <c r="AZ21" s="21">
        <f t="shared" ref="AZ21" si="63">(1+AC21/K20)/(1+AR21/100)-1</f>
        <v>2.2907503453974076E-2</v>
      </c>
      <c r="BA21" s="21">
        <f t="shared" ref="BA21" si="64">(1+AD21/L20)/(1+AR21/100)-1</f>
        <v>7.0074402544035852E-3</v>
      </c>
      <c r="BB21" s="21">
        <f t="shared" ref="BB21" si="65">(1+AE21/M20)/(1+AR21/100)-1</f>
        <v>4.6658854580527986E-4</v>
      </c>
      <c r="BD21" s="21">
        <f t="shared" ref="BD21" si="66">(1+AG21/C20)/(1+AR21/100)-1</f>
        <v>0.15911146735337911</v>
      </c>
      <c r="BE21" s="21">
        <f t="shared" ref="BE21" si="67">(1+AH21/D20)/(1+AR21/100)-1</f>
        <v>0.3635121792989735</v>
      </c>
      <c r="BF21" s="21">
        <f t="shared" ref="BF21" si="68">(1+AJ21/F20)/(1+AR21/100)-1</f>
        <v>0.16351210834045871</v>
      </c>
      <c r="BG21" s="21">
        <f t="shared" ref="BG21" si="69">(1+AK21/G20)/(1+AR21/100)-1</f>
        <v>5.2359024883536831E-2</v>
      </c>
      <c r="BH21" s="21">
        <f t="shared" ref="BH21" si="70">(1+AM21/J20)/(1+AR21/100)-1</f>
        <v>-6.7711847377195378E-3</v>
      </c>
      <c r="BI21" s="21">
        <f t="shared" ref="BI21" si="71">(1+AN21/K20)/(1+AR21/100)-1</f>
        <v>0.60101153657451678</v>
      </c>
      <c r="BJ21" s="21">
        <f t="shared" ref="BJ21" si="72">(1+AO21/L20)/(1+AR21/100)-1</f>
        <v>2.0227854064392314E-2</v>
      </c>
      <c r="BK21" s="21">
        <f t="shared" ref="BK21" si="73">(1+AP21/M20)/(1+AR21/100)-1</f>
        <v>9.5659438905700389E-2</v>
      </c>
      <c r="BM21" s="21">
        <f t="shared" ref="BM21" si="74">SUM(BN21:BQ21)</f>
        <v>1.6921378207573605</v>
      </c>
      <c r="BN21" s="21">
        <f t="shared" ref="BN21" si="75">(AVERAGE(O20,S20)*(AU21-AY21))*100</f>
        <v>2.5174017375057249E-2</v>
      </c>
      <c r="BO21" s="21">
        <f t="shared" ref="BO21" si="76">(AVERAGE(P20,T20))*(AV21-AZ21)*100</f>
        <v>0.99279095247920646</v>
      </c>
      <c r="BP21" s="21">
        <f t="shared" ref="BP21" si="77">(AVERAGE(Q20,U20))*(AW21-BA21)*100</f>
        <v>0.53808956398167318</v>
      </c>
      <c r="BQ21" s="21">
        <f t="shared" ref="BQ21" si="78">(AVERAGE(R20,V20))*(AX21-BB21)*100</f>
        <v>0.1360832869214236</v>
      </c>
      <c r="BS21" s="21">
        <f t="shared" ref="BS21" si="79">SUM(BT21:BW21)</f>
        <v>0.15856283219183154</v>
      </c>
      <c r="BT21" s="21">
        <f t="shared" ref="BT21" si="80">(O20-S20)*AVERAGE(AU21,AY21)*100</f>
        <v>0.60122891331150663</v>
      </c>
      <c r="BU21" s="21">
        <f t="shared" ref="BU21" si="81">(P20-T20)*AVERAGE(AV21,AZ21)*100</f>
        <v>-0.75955173792323505</v>
      </c>
      <c r="BV21" s="21">
        <f t="shared" ref="BV21" si="82">(Q20-U20)*AVERAGE(AW21,BA21)*100</f>
        <v>0.37028148107094422</v>
      </c>
      <c r="BW21" s="21">
        <f t="shared" ref="BW21" si="83">(R20-V20)*AVERAGE(AX21,BB21)*100</f>
        <v>-5.3395824267384269E-2</v>
      </c>
      <c r="BY21" s="21">
        <f t="shared" ref="BY21" si="84">SUM(BZ21:CC21)</f>
        <v>2.0362086708910181</v>
      </c>
      <c r="BZ21" s="21">
        <f t="shared" ref="BZ21" si="85">AVERAGE(O20,S20)*(BD21-BH21)*100</f>
        <v>1.5433235229074271</v>
      </c>
      <c r="CA21" s="21">
        <f t="shared" ref="CA21" si="86">AVERAGE(P20,T20)*(BE21-BI21)*100</f>
        <v>-3.828700494245036</v>
      </c>
      <c r="CB21" s="21">
        <f t="shared" ref="CB21" si="87">AVERAGE(Q20,U20)*(BF21-BJ21)*100</f>
        <v>5.7984450364110316</v>
      </c>
      <c r="CC21" s="21">
        <f t="shared" ref="CC21" si="88">AVERAGE(R20,V20)*(BG21-BK21)*100</f>
        <v>-1.4768593941824046</v>
      </c>
      <c r="CE21" s="21">
        <f>SUM(CF21:CI21)</f>
        <v>-5.2713676062669608</v>
      </c>
      <c r="CF21" s="21">
        <f t="shared" ref="CF21" si="89">(O20-S20)*AVERAGE(BD21,BH21)*100</f>
        <v>0.66430073026389658</v>
      </c>
      <c r="CG21" s="21">
        <f t="shared" ref="CG21" si="90">(P20-T20)*AVERAGE(BE21,BI21)*100</f>
        <v>-6.8213362110536924</v>
      </c>
      <c r="CH21" s="21">
        <f t="shared" ref="CH21" si="91">(Q20-U20)*AVERAGE(BF21,BJ21)*100</f>
        <v>2.4910929916775539</v>
      </c>
      <c r="CI21" s="21">
        <f t="shared" ref="CI21" si="92">(R20-V20)*AVERAGE(BG21,BK21)*100</f>
        <v>-1.6054251171547185</v>
      </c>
    </row>
    <row r="22" spans="1:90">
      <c r="A22" s="30"/>
      <c r="B22" s="30"/>
      <c r="C22" s="30"/>
      <c r="D22" s="30"/>
      <c r="E22" s="30"/>
      <c r="F22" s="30"/>
      <c r="H22" s="30"/>
      <c r="I22" s="30"/>
      <c r="J22" s="30"/>
      <c r="K22" s="30"/>
      <c r="AR22" s="7"/>
    </row>
    <row r="23" spans="1:90">
      <c r="A23" s="11" t="s">
        <v>148</v>
      </c>
      <c r="C23" s="26"/>
      <c r="H23" s="26"/>
      <c r="BM23" s="21">
        <f>AVERAGE(BM4:BM21)</f>
        <v>1.1790270348443368</v>
      </c>
      <c r="BN23" s="21">
        <f t="shared" ref="BN23:BQ23" si="93">AVERAGE(BN4:BN21)</f>
        <v>-0.10224772466253974</v>
      </c>
      <c r="BO23" s="21">
        <f t="shared" si="93"/>
        <v>0.69516706880577361</v>
      </c>
      <c r="BP23" s="21">
        <f t="shared" si="93"/>
        <v>0.45351574646100978</v>
      </c>
      <c r="BQ23" s="21">
        <f t="shared" si="93"/>
        <v>0.13259194424009324</v>
      </c>
      <c r="BS23" s="21">
        <f>AVERAGE(BS4:BS21)</f>
        <v>0.48557898486624013</v>
      </c>
      <c r="BT23" s="21">
        <f t="shared" ref="BT23:BW23" si="94">AVERAGE(BT4:BT21)</f>
        <v>0.47782959825630694</v>
      </c>
      <c r="BU23" s="21">
        <f t="shared" si="94"/>
        <v>-0.61523014514339069</v>
      </c>
      <c r="BV23" s="21">
        <f t="shared" si="94"/>
        <v>0.92563791496028047</v>
      </c>
      <c r="BW23" s="21">
        <f t="shared" si="94"/>
        <v>-0.3026583832069567</v>
      </c>
      <c r="BY23" s="21">
        <f>AVERAGE(BY4:BY21)</f>
        <v>0.2318606735108372</v>
      </c>
      <c r="BZ23" s="21">
        <f t="shared" ref="BZ23:CC23" si="95">AVERAGE(BZ4:BZ21)</f>
        <v>-0.17777601956058325</v>
      </c>
      <c r="CA23" s="21">
        <f t="shared" si="95"/>
        <v>-2.8534973970615824E-3</v>
      </c>
      <c r="CB23" s="21">
        <f t="shared" si="95"/>
        <v>1.0548871296595985</v>
      </c>
      <c r="CC23" s="21">
        <f t="shared" si="95"/>
        <v>-0.64239693919111618</v>
      </c>
      <c r="CE23" s="21">
        <f>AVERAGE(CE4:CE21)</f>
        <v>-0.84596125658168475</v>
      </c>
      <c r="CF23" s="21">
        <f t="shared" ref="CF23:CI23" si="96">AVERAGE(CF4:CF21)</f>
        <v>-6.0346974119925241E-2</v>
      </c>
      <c r="CG23" s="21">
        <f t="shared" si="96"/>
        <v>-0.48100266119173696</v>
      </c>
      <c r="CH23" s="21">
        <f t="shared" si="96"/>
        <v>-0.12626798264900038</v>
      </c>
      <c r="CI23" s="21">
        <f t="shared" si="96"/>
        <v>-0.17834363862102209</v>
      </c>
      <c r="CL23" s="43"/>
    </row>
    <row r="24" spans="1:90">
      <c r="O24" s="21">
        <f>AVERAGE(O3:O20)</f>
        <v>0.10386979831517487</v>
      </c>
      <c r="P24" s="21">
        <f t="shared" ref="P24:V24" si="97">AVERAGE(P3:P20)</f>
        <v>8.3631434027409191E-2</v>
      </c>
      <c r="Q24" s="21">
        <f t="shared" si="97"/>
        <v>0.5042364074060518</v>
      </c>
      <c r="R24" s="21">
        <f t="shared" si="97"/>
        <v>0.30826236025136416</v>
      </c>
      <c r="S24" s="21">
        <f t="shared" si="97"/>
        <v>3.870525682695139E-2</v>
      </c>
      <c r="T24" s="21">
        <f t="shared" si="97"/>
        <v>0.27295488958696623</v>
      </c>
      <c r="U24" s="21">
        <f t="shared" si="97"/>
        <v>0.19669962977923156</v>
      </c>
      <c r="V24" s="21">
        <f t="shared" si="97"/>
        <v>0.4916402238068508</v>
      </c>
    </row>
    <row r="26" spans="1:90">
      <c r="A26" s="11" t="s">
        <v>439</v>
      </c>
    </row>
    <row r="28" spans="1:90">
      <c r="A28" s="11" t="s">
        <v>245</v>
      </c>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9"/>
  <sheetViews>
    <sheetView workbookViewId="0">
      <pane xSplit="1" ySplit="3" topLeftCell="B4" activePane="bottomRight" state="frozen"/>
      <selection pane="topRight" activeCell="B1" sqref="B1"/>
      <selection pane="bottomLeft" activeCell="A4" sqref="A4"/>
      <selection pane="bottomRight"/>
    </sheetView>
  </sheetViews>
  <sheetFormatPr baseColWidth="12" defaultRowHeight="18" x14ac:dyDescent="0"/>
  <cols>
    <col min="1" max="1" width="12.83203125" style="11"/>
    <col min="2" max="4" width="12.83203125" style="23"/>
    <col min="5" max="5" width="21" style="21" customWidth="1"/>
    <col min="6" max="6" width="12.83203125" style="21"/>
    <col min="7" max="7" width="12.83203125" style="23"/>
    <col min="8" max="8" width="12.83203125" style="21"/>
    <col min="9" max="9" width="12.83203125" style="23"/>
  </cols>
  <sheetData>
    <row r="1" spans="1:15" s="24" customFormat="1" ht="45">
      <c r="A1" s="81"/>
      <c r="B1" s="82" t="s">
        <v>249</v>
      </c>
      <c r="C1" s="83" t="s">
        <v>255</v>
      </c>
      <c r="D1" s="83" t="s">
        <v>127</v>
      </c>
      <c r="E1" s="84" t="s">
        <v>128</v>
      </c>
      <c r="F1" s="84" t="s">
        <v>129</v>
      </c>
      <c r="G1" s="83" t="s">
        <v>254</v>
      </c>
      <c r="H1" s="84" t="s">
        <v>253</v>
      </c>
      <c r="I1" s="83" t="s">
        <v>130</v>
      </c>
    </row>
    <row r="2" spans="1:15" s="24" customFormat="1">
      <c r="A2" s="81"/>
      <c r="B2" s="82" t="s">
        <v>131</v>
      </c>
      <c r="C2" s="83" t="s">
        <v>6</v>
      </c>
      <c r="D2" s="83"/>
      <c r="E2" s="84"/>
      <c r="F2" s="84"/>
      <c r="G2" s="83" t="s">
        <v>132</v>
      </c>
      <c r="H2" s="84"/>
      <c r="I2" s="83"/>
    </row>
    <row r="3" spans="1:15" s="24" customFormat="1" ht="60">
      <c r="A3" s="81" t="s">
        <v>250</v>
      </c>
      <c r="B3" s="82" t="s">
        <v>251</v>
      </c>
      <c r="C3" s="83" t="s">
        <v>631</v>
      </c>
      <c r="D3" s="83"/>
      <c r="E3" s="84"/>
      <c r="F3" s="84"/>
      <c r="G3" s="83" t="s">
        <v>252</v>
      </c>
      <c r="H3" s="84" t="s">
        <v>252</v>
      </c>
      <c r="I3" s="83"/>
    </row>
    <row r="4" spans="1:15">
      <c r="A4" s="11">
        <v>1970</v>
      </c>
      <c r="B4" s="23">
        <v>1990</v>
      </c>
      <c r="C4" s="23">
        <f>'NFA in dollar'!M2</f>
        <v>12147.558074870281</v>
      </c>
      <c r="D4" s="23">
        <f>C4</f>
        <v>12147.558074870281</v>
      </c>
      <c r="E4" s="21">
        <f t="shared" ref="E4:E47" si="0">D4/I4*100</f>
        <v>5.9624062631679564</v>
      </c>
      <c r="F4" s="21">
        <f t="shared" ref="F4:F47" si="1">C4/I4*100</f>
        <v>5.9624062631679564</v>
      </c>
      <c r="G4" s="23">
        <v>73344.899999999994</v>
      </c>
      <c r="H4" s="21">
        <v>360.00000035900001</v>
      </c>
      <c r="I4" s="23">
        <f t="shared" ref="I4:I47" si="2">G4*1000/H4</f>
        <v>203735.83313016343</v>
      </c>
      <c r="K4" s="22"/>
      <c r="M4" s="22"/>
    </row>
    <row r="5" spans="1:15">
      <c r="A5" s="11">
        <v>1971</v>
      </c>
      <c r="B5" s="23">
        <v>5800</v>
      </c>
      <c r="C5" s="23">
        <f>'NFA in dollar'!M3</f>
        <v>17916.890159404225</v>
      </c>
      <c r="D5" s="23">
        <f t="shared" ref="D5:D47" si="3">D4+B5</f>
        <v>17947.558074870281</v>
      </c>
      <c r="E5" s="21">
        <f t="shared" si="0"/>
        <v>7.7988932895152585</v>
      </c>
      <c r="F5" s="21">
        <f t="shared" si="1"/>
        <v>7.7855669194801873</v>
      </c>
      <c r="G5" s="23">
        <v>80701.3</v>
      </c>
      <c r="H5" s="21">
        <v>350.677693533362</v>
      </c>
      <c r="I5" s="23">
        <f t="shared" si="2"/>
        <v>230129.55054788056</v>
      </c>
      <c r="K5" s="22"/>
      <c r="M5" s="22"/>
    </row>
    <row r="6" spans="1:15">
      <c r="A6" s="11">
        <v>1972</v>
      </c>
      <c r="B6" s="23">
        <v>6640</v>
      </c>
      <c r="C6" s="23">
        <f>'NFA in dollar'!M4</f>
        <v>23128.258376259939</v>
      </c>
      <c r="D6" s="23">
        <f t="shared" si="3"/>
        <v>24587.558074870281</v>
      </c>
      <c r="E6" s="21">
        <f t="shared" si="0"/>
        <v>8.0678823071842274</v>
      </c>
      <c r="F6" s="21">
        <f t="shared" si="1"/>
        <v>7.5890442630219335</v>
      </c>
      <c r="G6" s="23">
        <v>92394.4</v>
      </c>
      <c r="H6" s="21">
        <v>303.17249999900002</v>
      </c>
      <c r="I6" s="23">
        <f t="shared" si="2"/>
        <v>304758.51206921722</v>
      </c>
      <c r="K6" s="22"/>
      <c r="M6" s="22"/>
    </row>
    <row r="7" spans="1:15">
      <c r="A7" s="11">
        <v>1973</v>
      </c>
      <c r="B7" s="23">
        <v>-130</v>
      </c>
      <c r="C7" s="23">
        <f>'NFA in dollar'!M5</f>
        <v>16107.272363549622</v>
      </c>
      <c r="D7" s="23">
        <f t="shared" si="3"/>
        <v>24457.558074870281</v>
      </c>
      <c r="E7" s="21">
        <f t="shared" si="0"/>
        <v>5.9069080202463615</v>
      </c>
      <c r="F7" s="21">
        <f t="shared" si="1"/>
        <v>3.8901748088376342</v>
      </c>
      <c r="G7" s="23">
        <v>112498.1</v>
      </c>
      <c r="H7" s="21">
        <v>271.70166666608299</v>
      </c>
      <c r="I7" s="23">
        <f t="shared" si="2"/>
        <v>414050.09170686599</v>
      </c>
      <c r="K7" s="22"/>
      <c r="M7" s="22"/>
    </row>
    <row r="8" spans="1:15">
      <c r="A8" s="11">
        <v>1974</v>
      </c>
      <c r="B8" s="23">
        <v>-4720</v>
      </c>
      <c r="C8" s="23">
        <f>'NFA in dollar'!M6</f>
        <v>-8455.1768530085246</v>
      </c>
      <c r="D8" s="23">
        <f t="shared" si="3"/>
        <v>19737.558074870281</v>
      </c>
      <c r="E8" s="21">
        <f t="shared" si="0"/>
        <v>4.2944220190343954</v>
      </c>
      <c r="F8" s="21">
        <f t="shared" si="1"/>
        <v>-1.8396448798101075</v>
      </c>
      <c r="G8" s="23">
        <v>134243.79999999999</v>
      </c>
      <c r="H8" s="21">
        <v>292.08249999924999</v>
      </c>
      <c r="I8" s="23">
        <f t="shared" si="2"/>
        <v>459609.18576205254</v>
      </c>
      <c r="K8" s="22"/>
      <c r="M8" s="22"/>
    </row>
    <row r="9" spans="1:15">
      <c r="A9" s="11">
        <v>1975</v>
      </c>
      <c r="B9" s="23">
        <v>-680</v>
      </c>
      <c r="C9" s="23">
        <f>'NFA in dollar'!M7</f>
        <v>9117.3013343063649</v>
      </c>
      <c r="D9" s="23">
        <f t="shared" si="3"/>
        <v>19057.558074870281</v>
      </c>
      <c r="E9" s="21">
        <f t="shared" si="0"/>
        <v>3.8132242976028574</v>
      </c>
      <c r="F9" s="21">
        <f t="shared" si="1"/>
        <v>1.824279629108811</v>
      </c>
      <c r="G9" s="23">
        <v>148327.1</v>
      </c>
      <c r="H9" s="21">
        <v>296.78749999916698</v>
      </c>
      <c r="I9" s="23">
        <f t="shared" si="2"/>
        <v>499775.42854876409</v>
      </c>
      <c r="K9" s="22"/>
      <c r="M9" s="22"/>
    </row>
    <row r="10" spans="1:15">
      <c r="A10" s="11">
        <v>1976</v>
      </c>
      <c r="B10" s="23">
        <v>3710</v>
      </c>
      <c r="C10" s="23">
        <f>'NFA in dollar'!M8</f>
        <v>14101.077037747302</v>
      </c>
      <c r="D10" s="23">
        <f t="shared" si="3"/>
        <v>22767.558074870281</v>
      </c>
      <c r="E10" s="21">
        <f t="shared" si="0"/>
        <v>4.0533364386603399</v>
      </c>
      <c r="F10" s="21">
        <f t="shared" si="1"/>
        <v>2.5104321330158017</v>
      </c>
      <c r="G10" s="23">
        <v>166573.29999999999</v>
      </c>
      <c r="H10" s="21">
        <v>296.55249999916703</v>
      </c>
      <c r="I10" s="23">
        <f t="shared" si="2"/>
        <v>561699.19323043269</v>
      </c>
      <c r="K10" s="22"/>
      <c r="M10" s="22"/>
    </row>
    <row r="11" spans="1:15">
      <c r="A11" s="11">
        <v>1977</v>
      </c>
      <c r="B11" s="23">
        <v>10910</v>
      </c>
      <c r="C11" s="23">
        <f>'NFA in dollar'!M9</f>
        <v>31157.554024510311</v>
      </c>
      <c r="D11" s="23">
        <f t="shared" si="3"/>
        <v>33677.558074870278</v>
      </c>
      <c r="E11" s="21">
        <f t="shared" si="0"/>
        <v>4.8715998742934321</v>
      </c>
      <c r="F11" s="21">
        <f t="shared" si="1"/>
        <v>4.5070707303554975</v>
      </c>
      <c r="G11" s="23">
        <v>185622</v>
      </c>
      <c r="H11" s="21">
        <v>268.50999999933299</v>
      </c>
      <c r="I11" s="23">
        <f t="shared" si="2"/>
        <v>691303.8620552721</v>
      </c>
      <c r="K11" s="22"/>
      <c r="M11" s="22"/>
    </row>
    <row r="12" spans="1:15">
      <c r="A12" s="11">
        <v>1978</v>
      </c>
      <c r="B12" s="23">
        <v>16530.000000000102</v>
      </c>
      <c r="C12" s="23">
        <f>'NFA in dollar'!M10</f>
        <v>49192.534208867146</v>
      </c>
      <c r="D12" s="23">
        <f t="shared" si="3"/>
        <v>50207.55807487038</v>
      </c>
      <c r="E12" s="21">
        <f t="shared" si="0"/>
        <v>5.1690559047033346</v>
      </c>
      <c r="F12" s="21">
        <f t="shared" si="1"/>
        <v>5.0645554010111447</v>
      </c>
      <c r="G12" s="23">
        <v>204404.1</v>
      </c>
      <c r="H12" s="21">
        <v>210.441666666</v>
      </c>
      <c r="I12" s="23">
        <f t="shared" si="2"/>
        <v>971310.02257465268</v>
      </c>
      <c r="K12" s="22"/>
      <c r="M12" s="22"/>
    </row>
    <row r="13" spans="1:15">
      <c r="A13" s="11">
        <v>1979</v>
      </c>
      <c r="B13" s="23">
        <v>-8740.0000000000109</v>
      </c>
      <c r="C13" s="23">
        <f>'NFA in dollar'!M11</f>
        <v>27533.791091778839</v>
      </c>
      <c r="D13" s="23">
        <f t="shared" si="3"/>
        <v>41467.558074870365</v>
      </c>
      <c r="E13" s="21">
        <f t="shared" si="0"/>
        <v>4.1017107355741116</v>
      </c>
      <c r="F13" s="21">
        <f t="shared" si="1"/>
        <v>2.7234699064820003</v>
      </c>
      <c r="G13" s="23">
        <v>221546.6</v>
      </c>
      <c r="H13" s="21">
        <v>219.13999999933301</v>
      </c>
      <c r="I13" s="23">
        <f t="shared" si="2"/>
        <v>1010982.0206291608</v>
      </c>
      <c r="K13" s="22"/>
      <c r="M13" s="22"/>
    </row>
    <row r="14" spans="1:15">
      <c r="A14" s="11">
        <v>1980</v>
      </c>
      <c r="B14" s="23">
        <v>-10750</v>
      </c>
      <c r="C14" s="23">
        <f>'NFA in dollar'!M12</f>
        <v>11436.454959737282</v>
      </c>
      <c r="D14" s="23">
        <f t="shared" si="3"/>
        <v>30717.558074870365</v>
      </c>
      <c r="E14" s="21">
        <f t="shared" si="0"/>
        <v>2.868127986126511</v>
      </c>
      <c r="F14" s="21">
        <f t="shared" si="1"/>
        <v>1.0678328157514607</v>
      </c>
      <c r="G14" s="23">
        <v>242838.7</v>
      </c>
      <c r="H14" s="21">
        <v>226.74083333283301</v>
      </c>
      <c r="I14" s="23">
        <f t="shared" si="2"/>
        <v>1070996.7694417746</v>
      </c>
      <c r="K14" s="22"/>
      <c r="M14" s="22"/>
    </row>
    <row r="15" spans="1:15">
      <c r="A15" s="11">
        <v>1981</v>
      </c>
      <c r="B15" s="23">
        <v>4770</v>
      </c>
      <c r="C15" s="23">
        <f>'NFA in dollar'!M13</f>
        <v>11818.417311538302</v>
      </c>
      <c r="D15" s="23">
        <f t="shared" si="3"/>
        <v>35487.558074870365</v>
      </c>
      <c r="E15" s="21">
        <f t="shared" si="0"/>
        <v>2.9977906895538777</v>
      </c>
      <c r="F15" s="21">
        <f t="shared" si="1"/>
        <v>0.99835388242394063</v>
      </c>
      <c r="G15" s="23">
        <v>261068.2</v>
      </c>
      <c r="H15" s="21">
        <v>220.53583333275</v>
      </c>
      <c r="I15" s="23">
        <f t="shared" si="2"/>
        <v>1183790.3893200601</v>
      </c>
      <c r="K15" s="22"/>
      <c r="M15" s="22"/>
      <c r="O15" s="25"/>
    </row>
    <row r="16" spans="1:15">
      <c r="A16" s="11">
        <v>1982</v>
      </c>
      <c r="B16" s="23">
        <v>6850</v>
      </c>
      <c r="C16" s="23">
        <f>'NFA in dollar'!M14</f>
        <v>25633.967785404588</v>
      </c>
      <c r="D16" s="23">
        <f t="shared" si="3"/>
        <v>42337.558074870365</v>
      </c>
      <c r="E16" s="21">
        <f t="shared" si="0"/>
        <v>3.8474328332942327</v>
      </c>
      <c r="F16" s="21">
        <f t="shared" si="1"/>
        <v>2.3294912080371386</v>
      </c>
      <c r="G16" s="23">
        <v>274086.59999999998</v>
      </c>
      <c r="H16" s="21">
        <v>249.07666666583299</v>
      </c>
      <c r="I16" s="23">
        <f t="shared" si="2"/>
        <v>1100410.5830905507</v>
      </c>
      <c r="K16" s="22"/>
      <c r="M16" s="22"/>
      <c r="O16" s="25"/>
    </row>
    <row r="17" spans="1:15">
      <c r="A17" s="11">
        <v>1983</v>
      </c>
      <c r="B17" s="23">
        <v>20800</v>
      </c>
      <c r="C17" s="23">
        <f>'NFA in dollar'!M15</f>
        <v>37241.576766151789</v>
      </c>
      <c r="D17" s="23">
        <f t="shared" si="3"/>
        <v>63137.558074870365</v>
      </c>
      <c r="E17" s="21">
        <f t="shared" si="0"/>
        <v>5.2606455057049972</v>
      </c>
      <c r="F17" s="21">
        <f t="shared" si="1"/>
        <v>3.1029824309629239</v>
      </c>
      <c r="G17" s="23">
        <v>285058.3</v>
      </c>
      <c r="H17" s="21">
        <v>237.51166666608299</v>
      </c>
      <c r="I17" s="23">
        <f t="shared" si="2"/>
        <v>1200186.5171564927</v>
      </c>
      <c r="K17" s="22"/>
      <c r="M17" s="22"/>
      <c r="O17" s="25"/>
    </row>
    <row r="18" spans="1:15">
      <c r="A18" s="11">
        <v>1984</v>
      </c>
      <c r="B18" s="23">
        <v>35000</v>
      </c>
      <c r="C18" s="23">
        <f>'NFA in dollar'!M16</f>
        <v>74389.15106840001</v>
      </c>
      <c r="D18" s="23">
        <f t="shared" si="3"/>
        <v>98137.558074870365</v>
      </c>
      <c r="E18" s="21">
        <f t="shared" si="0"/>
        <v>7.6936664184963641</v>
      </c>
      <c r="F18" s="21">
        <f t="shared" si="1"/>
        <v>5.8318682948965161</v>
      </c>
      <c r="G18" s="23">
        <v>302974.90000000002</v>
      </c>
      <c r="H18" s="21">
        <v>237.52249999933301</v>
      </c>
      <c r="I18" s="23">
        <f t="shared" si="2"/>
        <v>1275562.9466717923</v>
      </c>
      <c r="K18" s="22"/>
      <c r="M18" s="22"/>
      <c r="O18" s="25"/>
    </row>
    <row r="19" spans="1:15">
      <c r="A19" s="11">
        <v>1985</v>
      </c>
      <c r="B19" s="23">
        <v>51128.904213372</v>
      </c>
      <c r="C19" s="23">
        <f>'NFA in dollar'!M17</f>
        <v>129868.65286527388</v>
      </c>
      <c r="D19" s="23">
        <f t="shared" si="3"/>
        <v>149266.46228824236</v>
      </c>
      <c r="E19" s="21">
        <f t="shared" si="0"/>
        <v>10.941976666564452</v>
      </c>
      <c r="F19" s="21">
        <f t="shared" si="1"/>
        <v>9.5200204224436735</v>
      </c>
      <c r="G19" s="23">
        <v>325401.90000000002</v>
      </c>
      <c r="H19" s="21">
        <v>238.53583333275</v>
      </c>
      <c r="I19" s="23">
        <f t="shared" si="2"/>
        <v>1364163.5952702945</v>
      </c>
      <c r="K19" s="22"/>
      <c r="M19" s="22"/>
      <c r="O19" s="25"/>
    </row>
    <row r="20" spans="1:15">
      <c r="A20" s="11">
        <v>1986</v>
      </c>
      <c r="B20" s="23">
        <v>85876.588528647204</v>
      </c>
      <c r="C20" s="23">
        <f>'NFA in dollar'!M18</f>
        <v>180406.60019760008</v>
      </c>
      <c r="D20" s="23">
        <f t="shared" si="3"/>
        <v>235143.05081688956</v>
      </c>
      <c r="E20" s="21">
        <f t="shared" si="0"/>
        <v>11.635637159760599</v>
      </c>
      <c r="F20" s="21">
        <f t="shared" si="1"/>
        <v>8.9271009023350416</v>
      </c>
      <c r="G20" s="23">
        <v>340559.5</v>
      </c>
      <c r="H20" s="21">
        <v>168.519833333083</v>
      </c>
      <c r="I20" s="23">
        <f t="shared" si="2"/>
        <v>2020886.7601172912</v>
      </c>
      <c r="K20" s="22"/>
      <c r="M20" s="22"/>
      <c r="O20" s="25"/>
    </row>
    <row r="21" spans="1:15">
      <c r="A21" s="11">
        <v>1987</v>
      </c>
      <c r="B21" s="23">
        <v>84350.605069577301</v>
      </c>
      <c r="C21" s="23">
        <f>'NFA in dollar'!M19</f>
        <v>240792.86960440001</v>
      </c>
      <c r="D21" s="23">
        <f t="shared" si="3"/>
        <v>319493.65588646685</v>
      </c>
      <c r="E21" s="21">
        <f t="shared" si="0"/>
        <v>13.047614862368107</v>
      </c>
      <c r="F21" s="21">
        <f t="shared" si="1"/>
        <v>9.8335994042995178</v>
      </c>
      <c r="G21" s="23">
        <v>354170.2</v>
      </c>
      <c r="H21" s="21">
        <v>144.63749999999999</v>
      </c>
      <c r="I21" s="23">
        <f t="shared" si="2"/>
        <v>2448674.7904243367</v>
      </c>
      <c r="K21" s="22"/>
      <c r="M21" s="22"/>
      <c r="O21" s="25"/>
    </row>
    <row r="22" spans="1:15">
      <c r="A22" s="11">
        <v>1988</v>
      </c>
      <c r="B22" s="23">
        <v>79249.3009141246</v>
      </c>
      <c r="C22" s="23">
        <f>'NFA in dollar'!M20</f>
        <v>291798.18777099997</v>
      </c>
      <c r="D22" s="23">
        <f t="shared" si="3"/>
        <v>398742.95680059143</v>
      </c>
      <c r="E22" s="21">
        <f t="shared" si="0"/>
        <v>13.421018352696951</v>
      </c>
      <c r="F22" s="21">
        <f t="shared" si="1"/>
        <v>9.8214370099000394</v>
      </c>
      <c r="G22" s="23">
        <v>380742.9</v>
      </c>
      <c r="H22" s="21">
        <v>128.15166666666701</v>
      </c>
      <c r="I22" s="23">
        <f t="shared" si="2"/>
        <v>2971033.5409865836</v>
      </c>
      <c r="K22" s="22"/>
      <c r="M22" s="22"/>
      <c r="O22" s="25"/>
    </row>
    <row r="23" spans="1:15">
      <c r="A23" s="11">
        <v>1989</v>
      </c>
      <c r="B23" s="23">
        <v>63214.903315179698</v>
      </c>
      <c r="C23" s="23">
        <f>'NFA in dollar'!M21</f>
        <v>293277.35094320006</v>
      </c>
      <c r="D23" s="23">
        <f t="shared" si="3"/>
        <v>461957.86011577112</v>
      </c>
      <c r="E23" s="21">
        <f t="shared" si="0"/>
        <v>15.540184534134976</v>
      </c>
      <c r="F23" s="21">
        <f t="shared" si="1"/>
        <v>9.8658006429361738</v>
      </c>
      <c r="G23" s="23">
        <v>410122.2</v>
      </c>
      <c r="H23" s="21">
        <v>137.96441666666701</v>
      </c>
      <c r="I23" s="23">
        <f t="shared" si="2"/>
        <v>2972666.5027757687</v>
      </c>
      <c r="K23" s="22"/>
      <c r="M23" s="22"/>
      <c r="O23" s="25"/>
    </row>
    <row r="24" spans="1:15">
      <c r="A24" s="11">
        <v>1990</v>
      </c>
      <c r="B24" s="23">
        <v>44078.234740943502</v>
      </c>
      <c r="C24" s="23">
        <f>'NFA in dollar'!M22</f>
        <v>328150.59297060012</v>
      </c>
      <c r="D24" s="23">
        <f t="shared" si="3"/>
        <v>506036.0948567146</v>
      </c>
      <c r="E24" s="21">
        <f t="shared" si="0"/>
        <v>16.547736073711572</v>
      </c>
      <c r="F24" s="21">
        <f t="shared" si="1"/>
        <v>10.73075509850143</v>
      </c>
      <c r="G24" s="23">
        <v>442781</v>
      </c>
      <c r="H24" s="21">
        <v>144.79249999999999</v>
      </c>
      <c r="I24" s="23">
        <f t="shared" si="2"/>
        <v>3058038.2271181177</v>
      </c>
      <c r="K24" s="22"/>
      <c r="M24" s="22"/>
      <c r="O24" s="25"/>
    </row>
    <row r="25" spans="1:15">
      <c r="A25" s="11">
        <v>1991</v>
      </c>
      <c r="B25" s="23">
        <v>68203.460492636295</v>
      </c>
      <c r="C25" s="23">
        <f>'NFA in dollar'!M23</f>
        <v>383128.83112460002</v>
      </c>
      <c r="D25" s="23">
        <f t="shared" si="3"/>
        <v>574239.55534935091</v>
      </c>
      <c r="E25" s="21">
        <f t="shared" si="0"/>
        <v>16.478547943291105</v>
      </c>
      <c r="F25" s="21">
        <f t="shared" si="1"/>
        <v>10.994378135973072</v>
      </c>
      <c r="G25" s="23">
        <v>469421.8</v>
      </c>
      <c r="H25" s="21">
        <v>134.70666666666699</v>
      </c>
      <c r="I25" s="23">
        <f t="shared" si="2"/>
        <v>3484770.3652380398</v>
      </c>
      <c r="K25" s="22"/>
      <c r="M25" s="22"/>
      <c r="O25" s="25"/>
    </row>
    <row r="26" spans="1:15">
      <c r="A26" s="11">
        <v>1992</v>
      </c>
      <c r="B26" s="23">
        <v>112573.79365663</v>
      </c>
      <c r="C26" s="23">
        <f>'NFA in dollar'!M24</f>
        <v>513682.66999999993</v>
      </c>
      <c r="D26" s="23">
        <f t="shared" si="3"/>
        <v>686813.34900598088</v>
      </c>
      <c r="E26" s="21">
        <f t="shared" si="0"/>
        <v>18.092541247885585</v>
      </c>
      <c r="F26" s="21">
        <f t="shared" si="1"/>
        <v>13.531805851982742</v>
      </c>
      <c r="G26" s="23">
        <v>480782.8</v>
      </c>
      <c r="H26" s="21">
        <v>126.651333333333</v>
      </c>
      <c r="I26" s="23">
        <f t="shared" si="2"/>
        <v>3796113.2137048268</v>
      </c>
      <c r="K26" s="22"/>
      <c r="M26" s="22"/>
      <c r="O26" s="25"/>
    </row>
    <row r="27" spans="1:15">
      <c r="A27" s="11">
        <v>1993</v>
      </c>
      <c r="B27" s="23">
        <v>131637.059578505</v>
      </c>
      <c r="C27" s="23">
        <f>'NFA in dollar'!M25</f>
        <v>610884.33316535992</v>
      </c>
      <c r="D27" s="23">
        <f t="shared" si="3"/>
        <v>818450.40858448588</v>
      </c>
      <c r="E27" s="21">
        <f t="shared" si="0"/>
        <v>18.814896235523207</v>
      </c>
      <c r="F27" s="21">
        <f t="shared" si="1"/>
        <v>14.043276440281202</v>
      </c>
      <c r="G27" s="23">
        <v>483711.8</v>
      </c>
      <c r="H27" s="21">
        <v>111.197785833333</v>
      </c>
      <c r="I27" s="23">
        <f t="shared" si="2"/>
        <v>4350012.874581906</v>
      </c>
      <c r="K27" s="22"/>
      <c r="M27" s="22"/>
      <c r="O27" s="25"/>
    </row>
    <row r="28" spans="1:15">
      <c r="A28" s="11">
        <v>1994</v>
      </c>
      <c r="B28" s="23">
        <v>130255.270893316</v>
      </c>
      <c r="C28" s="23">
        <f>'NFA in dollar'!M26</f>
        <v>689070.10199860996</v>
      </c>
      <c r="D28" s="23">
        <f t="shared" si="3"/>
        <v>948705.6794778019</v>
      </c>
      <c r="E28" s="21">
        <f t="shared" si="0"/>
        <v>19.559539447433373</v>
      </c>
      <c r="F28" s="21">
        <f t="shared" si="1"/>
        <v>14.206612370558819</v>
      </c>
      <c r="G28" s="23">
        <v>495743.4</v>
      </c>
      <c r="H28" s="21">
        <v>102.207805833333</v>
      </c>
      <c r="I28" s="23">
        <f t="shared" si="2"/>
        <v>4850347.7396667032</v>
      </c>
      <c r="K28" s="22"/>
      <c r="M28" s="22"/>
      <c r="O28" s="25"/>
    </row>
    <row r="29" spans="1:15">
      <c r="A29" s="11">
        <v>1995</v>
      </c>
      <c r="B29" s="23">
        <v>111044.214443872</v>
      </c>
      <c r="C29" s="23">
        <f>'NFA in dollar'!M27</f>
        <v>816031.43890268891</v>
      </c>
      <c r="D29" s="23">
        <f t="shared" si="3"/>
        <v>1059749.893921674</v>
      </c>
      <c r="E29" s="21">
        <f t="shared" si="0"/>
        <v>19.868100088755472</v>
      </c>
      <c r="F29" s="21">
        <f t="shared" si="1"/>
        <v>15.298887404170921</v>
      </c>
      <c r="G29" s="23">
        <v>501706.9</v>
      </c>
      <c r="H29" s="21">
        <v>94.059579166666694</v>
      </c>
      <c r="I29" s="23">
        <f t="shared" si="2"/>
        <v>5333926.6924744798</v>
      </c>
      <c r="K29" s="22"/>
      <c r="M29" s="22"/>
      <c r="O29" s="25"/>
    </row>
    <row r="30" spans="1:15">
      <c r="A30" s="11">
        <v>1996</v>
      </c>
      <c r="B30" s="23">
        <v>65792.247620424794</v>
      </c>
      <c r="C30" s="23">
        <f>'NFA in dollar'!M28</f>
        <v>890060.11250250833</v>
      </c>
      <c r="D30" s="23">
        <f t="shared" si="3"/>
        <v>1125542.1415420987</v>
      </c>
      <c r="E30" s="21">
        <f t="shared" si="0"/>
        <v>23.916212063631871</v>
      </c>
      <c r="F30" s="21">
        <f t="shared" si="1"/>
        <v>18.912544998826093</v>
      </c>
      <c r="G30" s="23">
        <v>511934.8</v>
      </c>
      <c r="H30" s="21">
        <v>108.779056666667</v>
      </c>
      <c r="I30" s="23">
        <f t="shared" si="2"/>
        <v>4706189.0007809876</v>
      </c>
      <c r="K30" s="22"/>
      <c r="M30" s="22"/>
      <c r="O30" s="25"/>
    </row>
    <row r="31" spans="1:15">
      <c r="A31" s="11">
        <v>1997</v>
      </c>
      <c r="B31" s="23">
        <v>96813.949006827897</v>
      </c>
      <c r="C31" s="23">
        <f>'NFA in dollar'!M29</f>
        <v>957576.51327870763</v>
      </c>
      <c r="D31" s="23">
        <f t="shared" si="3"/>
        <v>1222356.0905489265</v>
      </c>
      <c r="E31" s="21">
        <f t="shared" si="0"/>
        <v>28.26727794750914</v>
      </c>
      <c r="F31" s="21">
        <f t="shared" si="1"/>
        <v>22.144186678613735</v>
      </c>
      <c r="G31" s="23">
        <v>523198.3</v>
      </c>
      <c r="H31" s="21">
        <v>120.99086250000001</v>
      </c>
      <c r="I31" s="23">
        <f t="shared" si="2"/>
        <v>4324279.4471359355</v>
      </c>
      <c r="K31" s="22"/>
      <c r="M31" s="22"/>
      <c r="O31" s="25"/>
    </row>
    <row r="32" spans="1:15">
      <c r="A32" s="11">
        <v>1998</v>
      </c>
      <c r="B32" s="23">
        <v>118749.177477078</v>
      </c>
      <c r="C32" s="23">
        <f>'NFA in dollar'!M30</f>
        <v>1153278.1299986227</v>
      </c>
      <c r="D32" s="23">
        <f t="shared" si="3"/>
        <v>1341105.2680260045</v>
      </c>
      <c r="E32" s="21">
        <f t="shared" si="0"/>
        <v>34.25928264119743</v>
      </c>
      <c r="F32" s="21">
        <f t="shared" si="1"/>
        <v>29.461133560149676</v>
      </c>
      <c r="G32" s="23">
        <v>512438.6</v>
      </c>
      <c r="H32" s="21">
        <v>130.90530066666699</v>
      </c>
      <c r="I32" s="23">
        <f t="shared" si="2"/>
        <v>3914574.8674063017</v>
      </c>
      <c r="K32" s="22"/>
      <c r="M32" s="22"/>
    </row>
    <row r="33" spans="1:13">
      <c r="A33" s="11">
        <v>1999</v>
      </c>
      <c r="B33" s="23">
        <v>114603.95535536201</v>
      </c>
      <c r="C33" s="23">
        <f>'NFA in dollar'!M31</f>
        <v>828385.09311181633</v>
      </c>
      <c r="D33" s="23">
        <f t="shared" si="3"/>
        <v>1455709.2233813666</v>
      </c>
      <c r="E33" s="21">
        <f t="shared" si="0"/>
        <v>32.840985488783346</v>
      </c>
      <c r="F33" s="21">
        <f t="shared" si="1"/>
        <v>18.688473209517095</v>
      </c>
      <c r="G33" s="23">
        <v>504903.2</v>
      </c>
      <c r="H33" s="21">
        <v>113.90680500000001</v>
      </c>
      <c r="I33" s="23">
        <f t="shared" si="2"/>
        <v>4432599.088351218</v>
      </c>
      <c r="K33" s="22"/>
      <c r="M33" s="22"/>
    </row>
    <row r="34" spans="1:13">
      <c r="A34" s="11">
        <v>2000</v>
      </c>
      <c r="B34" s="23">
        <v>119660.31889249499</v>
      </c>
      <c r="C34" s="23">
        <f>'NFA in dollar'!M32</f>
        <v>1151850.5253737022</v>
      </c>
      <c r="D34" s="23">
        <f t="shared" si="3"/>
        <v>1575369.5422738616</v>
      </c>
      <c r="E34" s="21">
        <f t="shared" si="0"/>
        <v>33.297470635526885</v>
      </c>
      <c r="F34" s="21">
        <f t="shared" si="1"/>
        <v>24.34584903157895</v>
      </c>
      <c r="G34" s="23">
        <v>509860</v>
      </c>
      <c r="H34" s="21">
        <v>107.765498333333</v>
      </c>
      <c r="I34" s="23">
        <f t="shared" si="2"/>
        <v>4731198.833442363</v>
      </c>
      <c r="K34" s="22"/>
      <c r="M34" s="22"/>
    </row>
    <row r="35" spans="1:13">
      <c r="A35" s="11">
        <v>2001</v>
      </c>
      <c r="B35" s="23">
        <v>87797.6987471842</v>
      </c>
      <c r="C35" s="23">
        <f>'NFA in dollar'!M33</f>
        <v>1354824.5069630854</v>
      </c>
      <c r="D35" s="23">
        <f t="shared" si="3"/>
        <v>1663167.2410210457</v>
      </c>
      <c r="E35" s="21">
        <f t="shared" si="0"/>
        <v>39.981343694815102</v>
      </c>
      <c r="F35" s="21">
        <f t="shared" si="1"/>
        <v>32.569006244853099</v>
      </c>
      <c r="G35" s="23">
        <v>505543.2</v>
      </c>
      <c r="H35" s="21">
        <v>121.5289475</v>
      </c>
      <c r="I35" s="23">
        <f t="shared" si="2"/>
        <v>4159858.2921982436</v>
      </c>
      <c r="K35" s="22"/>
      <c r="M35" s="22"/>
    </row>
    <row r="36" spans="1:13">
      <c r="A36" s="11">
        <v>2002</v>
      </c>
      <c r="B36" s="23">
        <v>112447.291727838</v>
      </c>
      <c r="C36" s="23">
        <f>'NFA in dollar'!M34</f>
        <v>1455727.809344355</v>
      </c>
      <c r="D36" s="23">
        <f t="shared" si="3"/>
        <v>1775614.5327488838</v>
      </c>
      <c r="E36" s="21">
        <f t="shared" si="0"/>
        <v>44.604252668037574</v>
      </c>
      <c r="F36" s="21">
        <f t="shared" si="1"/>
        <v>36.568551240320012</v>
      </c>
      <c r="G36" s="23">
        <v>499147</v>
      </c>
      <c r="H36" s="21">
        <v>125.38801916666699</v>
      </c>
      <c r="I36" s="23">
        <f t="shared" si="2"/>
        <v>3980818.9276563087</v>
      </c>
      <c r="K36" s="22"/>
      <c r="M36" s="22"/>
    </row>
    <row r="37" spans="1:13">
      <c r="A37" s="11">
        <v>2003</v>
      </c>
      <c r="B37" s="23">
        <v>136216.14106182501</v>
      </c>
      <c r="C37" s="23">
        <f>'NFA in dollar'!M35</f>
        <v>1603855.5719942907</v>
      </c>
      <c r="D37" s="23">
        <f t="shared" si="3"/>
        <v>1911830.6738107088</v>
      </c>
      <c r="E37" s="21">
        <f t="shared" si="0"/>
        <v>44.430794875576737</v>
      </c>
      <c r="F37" s="21">
        <f t="shared" si="1"/>
        <v>37.273477670117494</v>
      </c>
      <c r="G37" s="23">
        <v>498854.8</v>
      </c>
      <c r="H37" s="21">
        <v>115.93346416666699</v>
      </c>
      <c r="I37" s="23">
        <f t="shared" si="2"/>
        <v>4302940.5149391713</v>
      </c>
      <c r="K37" s="22"/>
      <c r="M37" s="22"/>
    </row>
    <row r="38" spans="1:13">
      <c r="A38" s="11">
        <v>2004</v>
      </c>
      <c r="B38" s="23">
        <v>172058.71925975199</v>
      </c>
      <c r="C38" s="23">
        <f>'NFA in dollar'!M36</f>
        <v>1775858.8729848866</v>
      </c>
      <c r="D38" s="23">
        <f t="shared" si="3"/>
        <v>2083889.3930704608</v>
      </c>
      <c r="E38" s="21">
        <f t="shared" si="0"/>
        <v>44.758789621140629</v>
      </c>
      <c r="F38" s="21">
        <f t="shared" si="1"/>
        <v>38.142760338949948</v>
      </c>
      <c r="G38" s="23">
        <v>503725.3</v>
      </c>
      <c r="H38" s="21">
        <v>108.192569166667</v>
      </c>
      <c r="I38" s="23">
        <f t="shared" si="2"/>
        <v>4655821.5955111319</v>
      </c>
      <c r="K38" s="22"/>
      <c r="M38" s="22"/>
    </row>
    <row r="39" spans="1:13">
      <c r="A39" s="11">
        <v>2005</v>
      </c>
      <c r="B39" s="23">
        <v>165783.40460968</v>
      </c>
      <c r="C39" s="23">
        <f>'NFA in dollar'!M37</f>
        <v>1523054.3064006041</v>
      </c>
      <c r="D39" s="23">
        <f t="shared" si="3"/>
        <v>2249672.7976801409</v>
      </c>
      <c r="E39" s="21">
        <f t="shared" si="0"/>
        <v>49.206873663275012</v>
      </c>
      <c r="F39" s="21">
        <f t="shared" si="1"/>
        <v>33.313618280242515</v>
      </c>
      <c r="G39" s="23">
        <v>503903</v>
      </c>
      <c r="H39" s="21">
        <v>110.218211666667</v>
      </c>
      <c r="I39" s="23">
        <f t="shared" si="2"/>
        <v>4571866.9571953695</v>
      </c>
      <c r="K39" s="22"/>
      <c r="M39" s="22"/>
    </row>
    <row r="40" spans="1:13">
      <c r="A40" s="11">
        <v>2006</v>
      </c>
      <c r="B40" s="23">
        <v>171077.76364992902</v>
      </c>
      <c r="C40" s="23">
        <f>'NFA in dollar'!M38</f>
        <v>1793057.881633589</v>
      </c>
      <c r="D40" s="23">
        <f t="shared" si="3"/>
        <v>2420750.5613300698</v>
      </c>
      <c r="E40" s="21">
        <f t="shared" si="0"/>
        <v>55.563222265300837</v>
      </c>
      <c r="F40" s="21">
        <f t="shared" si="1"/>
        <v>41.155860997514928</v>
      </c>
      <c r="G40" s="23">
        <v>506687</v>
      </c>
      <c r="H40" s="21">
        <v>116.29931166666699</v>
      </c>
      <c r="I40" s="23">
        <f t="shared" si="2"/>
        <v>4356749.7755468106</v>
      </c>
      <c r="K40" s="22"/>
      <c r="M40" s="22"/>
    </row>
    <row r="41" spans="1:13">
      <c r="A41" s="11">
        <v>2007</v>
      </c>
      <c r="B41" s="23">
        <v>211684.945352037</v>
      </c>
      <c r="C41" s="23">
        <f>'NFA in dollar'!M39</f>
        <v>2180351.8067171359</v>
      </c>
      <c r="D41" s="23">
        <f t="shared" si="3"/>
        <v>2632435.5066821068</v>
      </c>
      <c r="E41" s="21">
        <f t="shared" si="0"/>
        <v>60.427594007558518</v>
      </c>
      <c r="F41" s="21">
        <f t="shared" si="1"/>
        <v>50.050006328933904</v>
      </c>
      <c r="G41" s="23">
        <v>512975.2</v>
      </c>
      <c r="H41" s="21">
        <v>117.75352916666699</v>
      </c>
      <c r="I41" s="23">
        <f t="shared" si="2"/>
        <v>4356346.7152983649</v>
      </c>
      <c r="K41" s="22"/>
      <c r="M41" s="22"/>
    </row>
    <row r="42" spans="1:13">
      <c r="A42" s="11">
        <v>2008</v>
      </c>
      <c r="B42" s="23">
        <v>159363.36046305898</v>
      </c>
      <c r="C42" s="23">
        <f>'NFA in dollar'!M40</f>
        <v>2474104.7873010286</v>
      </c>
      <c r="D42" s="23">
        <f t="shared" si="3"/>
        <v>2791798.8671451658</v>
      </c>
      <c r="E42" s="21">
        <f t="shared" si="0"/>
        <v>57.5725386917739</v>
      </c>
      <c r="F42" s="21">
        <f t="shared" si="1"/>
        <v>51.021044270301651</v>
      </c>
      <c r="G42" s="23">
        <v>501209.3</v>
      </c>
      <c r="H42" s="21">
        <v>103.359493968254</v>
      </c>
      <c r="I42" s="23">
        <f t="shared" si="2"/>
        <v>4849184.924937251</v>
      </c>
      <c r="K42" s="22"/>
      <c r="M42" s="22"/>
    </row>
    <row r="43" spans="1:13">
      <c r="A43" s="11">
        <v>2009</v>
      </c>
      <c r="B43" s="23">
        <v>147016.802091316</v>
      </c>
      <c r="C43" s="23">
        <f>'NFA in dollar'!M41</f>
        <v>2884834.2156930738</v>
      </c>
      <c r="D43" s="23">
        <f t="shared" si="3"/>
        <v>2938815.6692364817</v>
      </c>
      <c r="E43" s="21">
        <f t="shared" si="0"/>
        <v>58.366091340164459</v>
      </c>
      <c r="F43" s="21">
        <f t="shared" si="1"/>
        <v>57.293997407506225</v>
      </c>
      <c r="G43" s="23">
        <v>471138.7</v>
      </c>
      <c r="H43" s="21">
        <v>93.570089087045702</v>
      </c>
      <c r="I43" s="23">
        <f t="shared" si="2"/>
        <v>5035142.1549007241</v>
      </c>
      <c r="K43" s="22"/>
      <c r="M43" s="22"/>
    </row>
    <row r="44" spans="1:13">
      <c r="A44" s="11">
        <v>2010</v>
      </c>
      <c r="B44" s="23">
        <v>203915.58785649401</v>
      </c>
      <c r="C44" s="23">
        <f>'NFA in dollar'!M42</f>
        <v>3106645.0694196746</v>
      </c>
      <c r="D44" s="23">
        <f t="shared" si="3"/>
        <v>3142731.2570929755</v>
      </c>
      <c r="E44" s="21">
        <f t="shared" si="0"/>
        <v>57.18853198947027</v>
      </c>
      <c r="F44" s="21">
        <f t="shared" si="1"/>
        <v>56.53186874679723</v>
      </c>
      <c r="G44" s="23">
        <v>482384.4</v>
      </c>
      <c r="H44" s="21">
        <v>87.779875000000004</v>
      </c>
      <c r="I44" s="23">
        <f t="shared" si="2"/>
        <v>5495387.1829961026</v>
      </c>
      <c r="K44" s="22"/>
      <c r="M44" s="22"/>
    </row>
    <row r="45" spans="1:13">
      <c r="A45" s="11">
        <v>2011</v>
      </c>
      <c r="B45" s="23">
        <v>119064.319698687</v>
      </c>
      <c r="C45" s="23">
        <f>'NFA in dollar'!M43</f>
        <v>3379979.4493028396</v>
      </c>
      <c r="D45" s="23">
        <f t="shared" si="3"/>
        <v>3261795.5767916627</v>
      </c>
      <c r="E45" s="21">
        <f t="shared" si="0"/>
        <v>55.312654430457151</v>
      </c>
      <c r="F45" s="21">
        <f t="shared" si="1"/>
        <v>57.31678483825354</v>
      </c>
      <c r="G45" s="23">
        <v>470623.2</v>
      </c>
      <c r="H45" s="21">
        <v>79.807019832189198</v>
      </c>
      <c r="I45" s="23">
        <f t="shared" si="2"/>
        <v>5897015.0870134337</v>
      </c>
      <c r="K45" s="22"/>
      <c r="M45" s="22"/>
    </row>
    <row r="46" spans="1:13">
      <c r="A46" s="11">
        <v>2012</v>
      </c>
      <c r="B46" s="23">
        <v>60859.455179805002</v>
      </c>
      <c r="C46" s="23">
        <f>'NFA in dollar'!N44</f>
        <v>3423626.2213879083</v>
      </c>
      <c r="D46" s="23">
        <f t="shared" si="3"/>
        <v>3322655.0319714677</v>
      </c>
      <c r="E46" s="21">
        <f t="shared" si="0"/>
        <v>55.712133177003885</v>
      </c>
      <c r="F46" s="21">
        <f t="shared" si="1"/>
        <v>57.405152854846129</v>
      </c>
      <c r="G46" s="23">
        <v>475867.9</v>
      </c>
      <c r="H46" s="21">
        <v>79.790455417006498</v>
      </c>
      <c r="I46" s="23">
        <f t="shared" si="2"/>
        <v>5963970.2206609258</v>
      </c>
      <c r="K46" s="22"/>
      <c r="M46" s="22"/>
    </row>
    <row r="47" spans="1:13">
      <c r="A47" s="11">
        <v>2013</v>
      </c>
      <c r="B47" s="23">
        <v>34068.2260331992</v>
      </c>
      <c r="C47" s="23">
        <f>(NFA_in_yen!B21-NFA_in_yen!I21)/'NFA in dollar'!T45*1000</f>
        <v>3086486.2298195632</v>
      </c>
      <c r="D47" s="23">
        <f t="shared" si="3"/>
        <v>3356723.2580046668</v>
      </c>
      <c r="E47" s="21">
        <f t="shared" si="0"/>
        <v>62.348175831612949</v>
      </c>
      <c r="F47" s="21">
        <f t="shared" si="1"/>
        <v>57.328761225622237</v>
      </c>
      <c r="G47" s="23">
        <v>525438.97499999998</v>
      </c>
      <c r="H47" s="21">
        <v>97.595658277638506</v>
      </c>
      <c r="I47" s="23">
        <f t="shared" si="2"/>
        <v>5383835.5545001803</v>
      </c>
      <c r="K47" s="22"/>
    </row>
    <row r="49" spans="1:1">
      <c r="A49" s="11" t="s">
        <v>632</v>
      </c>
    </row>
  </sheetData>
  <phoneticPr fontId="4"/>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pane xSplit="1" ySplit="1" topLeftCell="B2" activePane="bottomRight" state="frozen"/>
      <selection pane="topRight" activeCell="B1" sqref="B1"/>
      <selection pane="bottomLeft" activeCell="A2" sqref="A2"/>
      <selection pane="bottomRight"/>
    </sheetView>
  </sheetViews>
  <sheetFormatPr baseColWidth="12" defaultRowHeight="18" x14ac:dyDescent="0"/>
  <cols>
    <col min="1" max="10" width="12.83203125" style="11"/>
  </cols>
  <sheetData>
    <row r="1" spans="1:10">
      <c r="A1" s="11" t="s">
        <v>150</v>
      </c>
      <c r="B1" s="11" t="s">
        <v>151</v>
      </c>
      <c r="C1" s="11" t="s">
        <v>152</v>
      </c>
      <c r="D1" s="11" t="s">
        <v>153</v>
      </c>
      <c r="E1" s="11" t="s">
        <v>154</v>
      </c>
      <c r="F1" s="11" t="s">
        <v>155</v>
      </c>
      <c r="G1" s="11" t="s">
        <v>156</v>
      </c>
      <c r="H1" s="11" t="s">
        <v>158</v>
      </c>
      <c r="I1" s="11" t="s">
        <v>157</v>
      </c>
      <c r="J1" s="11" t="s">
        <v>159</v>
      </c>
    </row>
    <row r="2" spans="1:10">
      <c r="A2" s="11">
        <v>1970</v>
      </c>
      <c r="B2" s="23">
        <v>12147.558074870281</v>
      </c>
      <c r="C2" s="23"/>
      <c r="D2" s="23">
        <v>10695.31968770345</v>
      </c>
      <c r="E2" s="23">
        <v>42223.406972599143</v>
      </c>
      <c r="F2" s="23">
        <v>-1365.5530630334201</v>
      </c>
      <c r="G2" s="23">
        <v>5947.802898132999</v>
      </c>
      <c r="H2" s="23">
        <v>3743.2350179106834</v>
      </c>
      <c r="I2" s="23">
        <v>197235.46878112067</v>
      </c>
      <c r="J2" s="23">
        <v>88179.627764567922</v>
      </c>
    </row>
    <row r="3" spans="1:10">
      <c r="A3" s="11">
        <v>1971</v>
      </c>
      <c r="B3" s="23">
        <v>17916.890159404225</v>
      </c>
      <c r="C3" s="23"/>
      <c r="D3" s="23">
        <v>12102.161443658362</v>
      </c>
      <c r="E3" s="23">
        <v>49110.787587666156</v>
      </c>
      <c r="F3" s="23">
        <v>-2147.6436603164616</v>
      </c>
      <c r="G3" s="23">
        <v>10179.132326442763</v>
      </c>
      <c r="H3" s="23">
        <v>4901.7406193955903</v>
      </c>
      <c r="I3" s="23">
        <v>214391.05735966581</v>
      </c>
      <c r="J3" s="23">
        <v>79875.484668870457</v>
      </c>
    </row>
    <row r="4" spans="1:10">
      <c r="A4" s="11">
        <v>1972</v>
      </c>
      <c r="B4" s="23">
        <v>23128.258376259939</v>
      </c>
      <c r="C4" s="23"/>
      <c r="D4" s="23">
        <v>13190.540050618642</v>
      </c>
      <c r="E4" s="23">
        <v>52013.611280254394</v>
      </c>
      <c r="F4" s="23">
        <v>-2462.5586835890417</v>
      </c>
      <c r="G4" s="23">
        <v>11892.611258998979</v>
      </c>
      <c r="H4" s="23">
        <v>6294.2864854592481</v>
      </c>
      <c r="I4" s="23">
        <v>235692.27169911857</v>
      </c>
      <c r="J4" s="23">
        <v>82362.330240550102</v>
      </c>
    </row>
    <row r="5" spans="1:10">
      <c r="A5" s="11">
        <v>1973</v>
      </c>
      <c r="B5" s="23">
        <v>16107.272363549622</v>
      </c>
      <c r="C5" s="23"/>
      <c r="D5" s="23">
        <v>18030.089051167772</v>
      </c>
      <c r="E5" s="23">
        <v>56021.586671260869</v>
      </c>
      <c r="F5" s="23">
        <v>-3232.2373407815849</v>
      </c>
      <c r="G5" s="23">
        <v>8690.5936374208832</v>
      </c>
      <c r="H5" s="23">
        <v>-784.86900706695451</v>
      </c>
      <c r="I5" s="23">
        <v>218649.63468143091</v>
      </c>
      <c r="J5" s="23">
        <v>103411.75863260054</v>
      </c>
    </row>
    <row r="6" spans="1:10">
      <c r="A6" s="11">
        <v>1974</v>
      </c>
      <c r="B6" s="23">
        <v>-8455.1768530085246</v>
      </c>
      <c r="C6" s="23"/>
      <c r="D6" s="23">
        <v>31625.635250397638</v>
      </c>
      <c r="E6" s="23">
        <v>64350.228749475165</v>
      </c>
      <c r="F6" s="23">
        <v>-5090.119530513638</v>
      </c>
      <c r="G6" s="23">
        <v>1033.0133492369205</v>
      </c>
      <c r="H6" s="23">
        <v>-3072.9341072249008</v>
      </c>
      <c r="I6" s="23">
        <v>185814.1025141635</v>
      </c>
      <c r="J6" s="23">
        <v>114445.45371505606</v>
      </c>
    </row>
    <row r="7" spans="1:10">
      <c r="A7" s="11">
        <v>1975</v>
      </c>
      <c r="B7" s="23">
        <v>9117.3013343063649</v>
      </c>
      <c r="C7" s="23"/>
      <c r="D7" s="23">
        <v>31049.995613262043</v>
      </c>
      <c r="E7" s="23">
        <v>62735.501858971125</v>
      </c>
      <c r="F7" s="23">
        <v>-7849.4542185528462</v>
      </c>
      <c r="G7" s="23">
        <v>586.08291418297449</v>
      </c>
      <c r="H7" s="23">
        <v>-7026.9957347025265</v>
      </c>
      <c r="I7" s="23">
        <v>209296.16416789964</v>
      </c>
      <c r="J7" s="23">
        <v>126284.82022396693</v>
      </c>
    </row>
    <row r="8" spans="1:10">
      <c r="A8" s="11">
        <v>1976</v>
      </c>
      <c r="B8" s="23">
        <v>14101.077037747302</v>
      </c>
      <c r="C8" s="23"/>
      <c r="D8" s="23">
        <v>37799.492808712879</v>
      </c>
      <c r="E8" s="23">
        <v>64479.182806560486</v>
      </c>
      <c r="F8" s="23">
        <v>-12766.71722611814</v>
      </c>
      <c r="G8" s="23">
        <v>3145.0499470318027</v>
      </c>
      <c r="H8" s="23">
        <v>-9266.2436170504734</v>
      </c>
      <c r="I8" s="23">
        <v>217644.06706150965</v>
      </c>
      <c r="J8" s="23">
        <v>125763.99274982221</v>
      </c>
    </row>
    <row r="9" spans="1:10">
      <c r="A9" s="11">
        <v>1977</v>
      </c>
      <c r="B9" s="23">
        <v>31157.554024510311</v>
      </c>
      <c r="C9" s="23"/>
      <c r="D9" s="23">
        <v>41772.274403616437</v>
      </c>
      <c r="E9" s="23">
        <v>71125.453549807979</v>
      </c>
      <c r="F9" s="23">
        <v>-19421.228082574075</v>
      </c>
      <c r="G9" s="23">
        <v>6242.1096861769329</v>
      </c>
      <c r="H9" s="23">
        <v>-6229.0219480366432</v>
      </c>
      <c r="I9" s="23">
        <v>213083.75762595213</v>
      </c>
      <c r="J9" s="23">
        <v>123824.48211729998</v>
      </c>
    </row>
    <row r="10" spans="1:10">
      <c r="A10" s="11">
        <v>1978</v>
      </c>
      <c r="B10" s="23">
        <v>49192.534208867146</v>
      </c>
      <c r="C10" s="23"/>
      <c r="D10" s="23">
        <v>45109.616915557999</v>
      </c>
      <c r="E10" s="23">
        <v>87735.750688748609</v>
      </c>
      <c r="F10" s="23">
        <v>-23957.460485752366</v>
      </c>
      <c r="G10" s="23">
        <v>15838.884566277498</v>
      </c>
      <c r="H10" s="23">
        <v>-775.84418645077676</v>
      </c>
      <c r="I10" s="23">
        <v>227384.52348082856</v>
      </c>
      <c r="J10" s="23">
        <v>142592.29338420019</v>
      </c>
    </row>
    <row r="11" spans="1:10">
      <c r="A11" s="11">
        <v>1979</v>
      </c>
      <c r="B11" s="23">
        <v>27533.791091778839</v>
      </c>
      <c r="C11" s="23"/>
      <c r="D11" s="23">
        <v>42235.964639442653</v>
      </c>
      <c r="E11" s="23">
        <v>90474.594375903485</v>
      </c>
      <c r="F11" s="23">
        <v>-25440.011241293483</v>
      </c>
      <c r="G11" s="23">
        <v>9713.8529452435323</v>
      </c>
      <c r="H11" s="23">
        <v>8615.341708370368</v>
      </c>
      <c r="I11" s="23">
        <v>240366.64095967813</v>
      </c>
      <c r="J11" s="23">
        <v>180187.01926698105</v>
      </c>
    </row>
    <row r="12" spans="1:10">
      <c r="A12" s="11">
        <v>1980</v>
      </c>
      <c r="B12" s="23">
        <v>11436.454959737282</v>
      </c>
      <c r="C12" s="23"/>
      <c r="D12" s="23">
        <v>39606.8990776547</v>
      </c>
      <c r="E12" s="23">
        <v>87681.379579717279</v>
      </c>
      <c r="F12" s="23">
        <v>-21840.90000732589</v>
      </c>
      <c r="G12" s="23">
        <v>32143.875637593446</v>
      </c>
      <c r="H12" s="23">
        <v>-3563.0499382650887</v>
      </c>
      <c r="I12" s="23">
        <v>254135.64472196437</v>
      </c>
      <c r="J12" s="23">
        <v>217977.28940815071</v>
      </c>
    </row>
    <row r="13" spans="1:10">
      <c r="A13" s="11">
        <v>1981</v>
      </c>
      <c r="B13" s="23">
        <v>11818.417311538302</v>
      </c>
      <c r="C13" s="23">
        <v>11912.249987117688</v>
      </c>
      <c r="D13" s="23">
        <v>36961.402689895011</v>
      </c>
      <c r="E13" s="23">
        <v>81267.8590734381</v>
      </c>
      <c r="F13" s="23">
        <v>-19914.389397881889</v>
      </c>
      <c r="G13" s="23">
        <v>54706.952124453965</v>
      </c>
      <c r="H13" s="23">
        <v>-16162.311930863929</v>
      </c>
      <c r="I13" s="23">
        <v>222200.05111256917</v>
      </c>
      <c r="J13" s="23">
        <v>249177.88533707254</v>
      </c>
    </row>
    <row r="14" spans="1:10">
      <c r="A14" s="11">
        <v>1982</v>
      </c>
      <c r="B14" s="23">
        <v>25633.967785404588</v>
      </c>
      <c r="C14" s="23">
        <v>16179.299348239305</v>
      </c>
      <c r="D14" s="23">
        <v>38336.986786397349</v>
      </c>
      <c r="E14" s="23">
        <v>88908.072142145669</v>
      </c>
      <c r="F14" s="23">
        <v>-19008.000534809395</v>
      </c>
      <c r="G14" s="23">
        <v>61722.07192459912</v>
      </c>
      <c r="H14" s="23">
        <v>-23041.658704322457</v>
      </c>
      <c r="I14" s="23">
        <v>205176.28201337165</v>
      </c>
      <c r="J14" s="23">
        <v>210737.38381538005</v>
      </c>
    </row>
    <row r="15" spans="1:10">
      <c r="A15" s="11">
        <v>1983</v>
      </c>
      <c r="B15" s="23">
        <v>37241.576766151789</v>
      </c>
      <c r="C15" s="23">
        <v>19395.462780583861</v>
      </c>
      <c r="D15" s="23">
        <v>44070.143230758025</v>
      </c>
      <c r="E15" s="23">
        <v>64394.966414079303</v>
      </c>
      <c r="F15" s="23">
        <v>-16713.545614010058</v>
      </c>
      <c r="G15" s="23">
        <v>73354.808273803792</v>
      </c>
      <c r="H15" s="23">
        <v>-19339.688963413064</v>
      </c>
      <c r="I15" s="23">
        <v>208493.73787846006</v>
      </c>
      <c r="J15" s="23">
        <v>201920.68614289491</v>
      </c>
    </row>
    <row r="16" spans="1:10">
      <c r="A16" s="11">
        <v>1984</v>
      </c>
      <c r="B16" s="23">
        <v>74389.15106840001</v>
      </c>
      <c r="C16" s="23">
        <v>20335.337421720738</v>
      </c>
      <c r="D16" s="23">
        <v>54927.057441359386</v>
      </c>
      <c r="E16" s="23">
        <v>78055.571572417597</v>
      </c>
      <c r="F16" s="23">
        <v>-12350.221254775952</v>
      </c>
      <c r="G16" s="23">
        <v>84709.520466116024</v>
      </c>
      <c r="H16" s="23">
        <v>-18899.172020643469</v>
      </c>
      <c r="I16" s="23">
        <v>209283.31408926891</v>
      </c>
      <c r="J16" s="23">
        <v>85544.787422799971</v>
      </c>
    </row>
    <row r="17" spans="1:12">
      <c r="A17" s="11">
        <v>1985</v>
      </c>
      <c r="B17" s="23">
        <v>129868.65286527388</v>
      </c>
      <c r="C17" s="23">
        <v>9633.4065103112844</v>
      </c>
      <c r="D17" s="23">
        <v>61887.535561230674</v>
      </c>
      <c r="E17" s="23">
        <v>94392.32687049947</v>
      </c>
      <c r="F17" s="23">
        <v>-10019.151720451035</v>
      </c>
      <c r="G17" s="23">
        <v>96281.694576808484</v>
      </c>
      <c r="H17" s="23">
        <v>-38645.934059529449</v>
      </c>
      <c r="I17" s="23">
        <v>235000.87542625255</v>
      </c>
      <c r="J17" s="23">
        <v>-24095.547618115554</v>
      </c>
    </row>
    <row r="18" spans="1:12">
      <c r="A18" s="11">
        <v>1986</v>
      </c>
      <c r="B18" s="23">
        <v>180406.60019760008</v>
      </c>
      <c r="C18" s="23">
        <v>-312.29438451914757</v>
      </c>
      <c r="D18" s="23">
        <v>99404.903756009124</v>
      </c>
      <c r="E18" s="23">
        <v>110113.74749911338</v>
      </c>
      <c r="F18" s="23">
        <v>-16623.468134841092</v>
      </c>
      <c r="G18" s="23">
        <v>139716.59751399991</v>
      </c>
      <c r="H18" s="23">
        <v>-47863.713385809213</v>
      </c>
      <c r="I18" s="23">
        <v>249853.91141519323</v>
      </c>
      <c r="J18" s="23">
        <v>-130181.62553970004</v>
      </c>
    </row>
    <row r="19" spans="1:12">
      <c r="A19" s="11">
        <v>1987</v>
      </c>
      <c r="B19" s="23">
        <v>240792.86960440001</v>
      </c>
      <c r="C19" s="23">
        <v>-7776.4520993798869</v>
      </c>
      <c r="D19" s="23">
        <v>169459.13769134448</v>
      </c>
      <c r="E19" s="23">
        <v>161034.3107633355</v>
      </c>
      <c r="F19" s="23">
        <v>-20178.561964167049</v>
      </c>
      <c r="G19" s="23">
        <v>85066.611580800032</v>
      </c>
      <c r="H19" s="23">
        <v>-53072.741603965173</v>
      </c>
      <c r="I19" s="23">
        <v>277860.30286975158</v>
      </c>
      <c r="J19" s="23">
        <v>-198568.7190425999</v>
      </c>
    </row>
    <row r="20" spans="1:12">
      <c r="A20" s="11">
        <v>1988</v>
      </c>
      <c r="B20" s="23">
        <v>291798.18777099997</v>
      </c>
      <c r="C20" s="23">
        <v>-9867.8289634098255</v>
      </c>
      <c r="D20" s="23">
        <v>212556.85680769698</v>
      </c>
      <c r="E20" s="23">
        <v>164282.69907588296</v>
      </c>
      <c r="F20" s="23">
        <v>-21489.365034201553</v>
      </c>
      <c r="G20" s="23">
        <v>81017.015955999726</v>
      </c>
      <c r="H20" s="23">
        <v>-61023.572901069507</v>
      </c>
      <c r="I20" s="23">
        <v>265257.6344386487</v>
      </c>
      <c r="J20" s="23">
        <v>-274891.28661000007</v>
      </c>
    </row>
    <row r="21" spans="1:12">
      <c r="A21" s="11">
        <v>1989</v>
      </c>
      <c r="B21" s="23">
        <v>293277.35094320006</v>
      </c>
      <c r="C21" s="23">
        <v>-12285.603912272083</v>
      </c>
      <c r="D21" s="23">
        <v>270250.1713861021</v>
      </c>
      <c r="E21" s="23">
        <v>161608.4883857565</v>
      </c>
      <c r="F21" s="23">
        <v>-22524.916061526907</v>
      </c>
      <c r="G21" s="23">
        <v>76567.652803199831</v>
      </c>
      <c r="H21" s="23">
        <v>-86979.043936777511</v>
      </c>
      <c r="I21" s="23">
        <v>207066.83623388829</v>
      </c>
      <c r="J21" s="23">
        <v>-351396.42542880005</v>
      </c>
    </row>
    <row r="22" spans="1:12">
      <c r="A22" s="11">
        <v>1990</v>
      </c>
      <c r="B22" s="23">
        <v>328150.59297060012</v>
      </c>
      <c r="C22" s="23">
        <v>6933.623584821471</v>
      </c>
      <c r="D22" s="23">
        <v>332542.52064281877</v>
      </c>
      <c r="E22" s="23">
        <v>186755.80756727071</v>
      </c>
      <c r="F22" s="23">
        <v>-16327.678994404981</v>
      </c>
      <c r="G22" s="23">
        <v>-31761.491473600268</v>
      </c>
      <c r="H22" s="23">
        <v>-138803.04093994066</v>
      </c>
      <c r="I22" s="23">
        <v>96602.449672655552</v>
      </c>
      <c r="J22" s="23">
        <v>-332780.7464536</v>
      </c>
    </row>
    <row r="23" spans="1:12">
      <c r="A23" s="11">
        <v>1991</v>
      </c>
      <c r="B23" s="23">
        <v>383128.83112460002</v>
      </c>
      <c r="C23" s="23">
        <v>20204.935351129621</v>
      </c>
      <c r="D23" s="23">
        <v>311048.61544150766</v>
      </c>
      <c r="E23" s="23">
        <v>203121.5326323167</v>
      </c>
      <c r="F23" s="23">
        <v>-13613.902506725884</v>
      </c>
      <c r="G23" s="23">
        <v>-11557.657978700241</v>
      </c>
      <c r="H23" s="23">
        <v>-160911.3897028318</v>
      </c>
      <c r="I23" s="23">
        <v>12324.123047187459</v>
      </c>
      <c r="J23" s="23">
        <v>-384315.5400409</v>
      </c>
      <c r="L23" s="23"/>
    </row>
    <row r="24" spans="1:12">
      <c r="A24" s="11">
        <v>1992</v>
      </c>
      <c r="B24" s="23">
        <v>513682.66999999993</v>
      </c>
      <c r="C24" s="23">
        <v>-12991.334298636226</v>
      </c>
      <c r="D24" s="23">
        <v>265067.44592781877</v>
      </c>
      <c r="E24" s="23">
        <v>204810.48065934062</v>
      </c>
      <c r="F24" s="23">
        <v>-7889.0984160425287</v>
      </c>
      <c r="G24" s="23">
        <v>13192.921499999939</v>
      </c>
      <c r="H24" s="23">
        <v>-150574.26628153631</v>
      </c>
      <c r="I24" s="23">
        <v>-35509.087205997901</v>
      </c>
      <c r="J24" s="23">
        <v>-498188.38125000009</v>
      </c>
    </row>
    <row r="25" spans="1:12">
      <c r="A25" s="11">
        <v>1993</v>
      </c>
      <c r="B25" s="23">
        <v>610884.33316535992</v>
      </c>
      <c r="C25" s="23">
        <v>-40242.618048451273</v>
      </c>
      <c r="D25" s="23">
        <v>211864.00595872942</v>
      </c>
      <c r="E25" s="23">
        <v>209430.00636065926</v>
      </c>
      <c r="F25" s="23">
        <v>-4224.6876989753218</v>
      </c>
      <c r="G25" s="23">
        <v>39196.950322919758</v>
      </c>
      <c r="H25" s="23">
        <v>-125397.6200028134</v>
      </c>
      <c r="I25" s="23">
        <v>-105007.07332134317</v>
      </c>
      <c r="J25" s="23">
        <v>-387051.28502140008</v>
      </c>
    </row>
    <row r="26" spans="1:12">
      <c r="A26" s="11">
        <v>1994</v>
      </c>
      <c r="B26" s="23">
        <v>689070.10199860996</v>
      </c>
      <c r="C26" s="23">
        <v>-39728.928785447817</v>
      </c>
      <c r="D26" s="23">
        <v>197594.00874690013</v>
      </c>
      <c r="E26" s="23">
        <v>232652.07268354285</v>
      </c>
      <c r="F26" s="23">
        <v>1450.475128305945</v>
      </c>
      <c r="G26" s="23">
        <v>31115.798171340022</v>
      </c>
      <c r="H26" s="23">
        <v>-112949.09217413899</v>
      </c>
      <c r="I26" s="23">
        <v>-56696.336733989883</v>
      </c>
      <c r="J26" s="23">
        <v>-398567.87377278553</v>
      </c>
    </row>
    <row r="27" spans="1:12">
      <c r="A27" s="11">
        <v>1995</v>
      </c>
      <c r="B27" s="23">
        <v>816031.43890268891</v>
      </c>
      <c r="C27" s="23">
        <v>-62240.497973929043</v>
      </c>
      <c r="D27" s="23">
        <v>127741.90864118468</v>
      </c>
      <c r="E27" s="23">
        <v>255791.90193705086</v>
      </c>
      <c r="F27" s="23">
        <v>5592.694241323712</v>
      </c>
      <c r="G27" s="23">
        <v>-27337.581930823158</v>
      </c>
      <c r="H27" s="23">
        <v>-100883.52331683144</v>
      </c>
      <c r="I27" s="23">
        <v>-67018.190115128877</v>
      </c>
      <c r="J27" s="23">
        <v>-531473.50663653016</v>
      </c>
    </row>
    <row r="28" spans="1:12">
      <c r="A28" s="11">
        <v>1996</v>
      </c>
      <c r="B28" s="23">
        <v>890060.11250250833</v>
      </c>
      <c r="C28" s="23">
        <v>-70304.493253407709</v>
      </c>
      <c r="D28" s="23">
        <v>94071.337066895561</v>
      </c>
      <c r="E28" s="23">
        <v>294973.98471910949</v>
      </c>
      <c r="F28" s="23">
        <v>6767.4198436253064</v>
      </c>
      <c r="G28" s="23">
        <v>-100699.86771475896</v>
      </c>
      <c r="H28" s="23">
        <v>-105198.52697255905</v>
      </c>
      <c r="I28" s="23">
        <v>13315.298061731504</v>
      </c>
      <c r="J28" s="23">
        <v>-560036.18394708261</v>
      </c>
    </row>
    <row r="29" spans="1:12">
      <c r="A29" s="11">
        <v>1997</v>
      </c>
      <c r="B29" s="23">
        <v>957576.51327870763</v>
      </c>
      <c r="C29" s="23">
        <v>-44426.732409374847</v>
      </c>
      <c r="D29" s="23">
        <v>90995.762717839796</v>
      </c>
      <c r="E29" s="23">
        <v>267508.41964275588</v>
      </c>
      <c r="F29" s="23">
        <v>10704.3775420889</v>
      </c>
      <c r="G29" s="23">
        <v>-96077.603751295712</v>
      </c>
      <c r="H29" s="23">
        <v>-99070.811933345394</v>
      </c>
      <c r="I29" s="23">
        <v>130573.4503860171</v>
      </c>
      <c r="J29" s="23">
        <v>-862103.07674633246</v>
      </c>
    </row>
    <row r="30" spans="1:12">
      <c r="A30" s="11">
        <v>1998</v>
      </c>
      <c r="B30" s="23">
        <v>1153278.1299986227</v>
      </c>
      <c r="C30" s="23">
        <v>-15113.943056115415</v>
      </c>
      <c r="D30" s="23">
        <v>888.41251245047897</v>
      </c>
      <c r="E30" s="23">
        <v>315003.11561428802</v>
      </c>
      <c r="F30" s="23">
        <v>16979.231133084366</v>
      </c>
      <c r="G30" s="23">
        <v>-200698.3952094866</v>
      </c>
      <c r="H30" s="23">
        <v>-136945.86347732134</v>
      </c>
      <c r="I30" s="23">
        <v>106972.50578903384</v>
      </c>
      <c r="J30" s="23">
        <v>-933654.12610292807</v>
      </c>
    </row>
    <row r="31" spans="1:12">
      <c r="A31" s="11">
        <v>1999</v>
      </c>
      <c r="B31" s="23">
        <v>828385.09311181633</v>
      </c>
      <c r="C31" s="23">
        <v>849.54851679224521</v>
      </c>
      <c r="D31" s="23">
        <v>56587.235210035462</v>
      </c>
      <c r="E31" s="23">
        <v>309443.62081492878</v>
      </c>
      <c r="F31" s="23">
        <v>36783.547648694774</v>
      </c>
      <c r="G31" s="23">
        <v>-306744.61832889076</v>
      </c>
      <c r="H31" s="23">
        <v>-174930.89840031182</v>
      </c>
      <c r="I31" s="23">
        <v>-18467.939428254962</v>
      </c>
      <c r="J31" s="23">
        <v>-806986.44065079652</v>
      </c>
    </row>
    <row r="32" spans="1:12">
      <c r="A32" s="11">
        <v>2000</v>
      </c>
      <c r="B32" s="23">
        <v>1151850.5253737022</v>
      </c>
      <c r="C32" s="23">
        <v>41325.04102259106</v>
      </c>
      <c r="D32" s="23">
        <v>30329.055205614772</v>
      </c>
      <c r="E32" s="23">
        <v>264345.9630527196</v>
      </c>
      <c r="F32" s="23">
        <v>46941.351417645725</v>
      </c>
      <c r="G32" s="23">
        <v>-147705.17811483517</v>
      </c>
      <c r="H32" s="23">
        <v>-167760.66052621976</v>
      </c>
      <c r="I32" s="23">
        <v>221482.90792101808</v>
      </c>
      <c r="J32" s="23">
        <v>-1408813.5801005969</v>
      </c>
    </row>
    <row r="33" spans="1:10">
      <c r="A33" s="11">
        <v>2001</v>
      </c>
      <c r="B33" s="23">
        <v>1354824.5069630854</v>
      </c>
      <c r="C33" s="23">
        <v>33286.611463996116</v>
      </c>
      <c r="D33" s="23">
        <v>129323.55573697295</v>
      </c>
      <c r="E33" s="23">
        <v>303653.42955557094</v>
      </c>
      <c r="F33" s="23">
        <v>60908.051352862269</v>
      </c>
      <c r="G33" s="23">
        <v>-201057.44725434296</v>
      </c>
      <c r="H33" s="23">
        <v>-131069.27505115862</v>
      </c>
      <c r="I33" s="23">
        <v>147622.42667245353</v>
      </c>
      <c r="J33" s="23">
        <v>-1947359.3181388816</v>
      </c>
    </row>
    <row r="34" spans="1:10">
      <c r="A34" s="11">
        <v>2002</v>
      </c>
      <c r="B34" s="23">
        <v>1455727.809344355</v>
      </c>
      <c r="C34" s="23">
        <v>94817.268649341073</v>
      </c>
      <c r="D34" s="23">
        <v>74045.269819187</v>
      </c>
      <c r="E34" s="23">
        <v>371264.4099849842</v>
      </c>
      <c r="F34" s="23">
        <v>90525.021011472214</v>
      </c>
      <c r="G34" s="23">
        <v>-196925.05425060447</v>
      </c>
      <c r="H34" s="23">
        <v>-214037.78586691408</v>
      </c>
      <c r="I34" s="23">
        <v>11827.332058925647</v>
      </c>
      <c r="J34" s="23">
        <v>-2135270.6741786459</v>
      </c>
    </row>
    <row r="35" spans="1:10">
      <c r="A35" s="11">
        <v>2003</v>
      </c>
      <c r="B35" s="23">
        <v>1603855.5719942907</v>
      </c>
      <c r="C35" s="23">
        <v>139738.37129989755</v>
      </c>
      <c r="D35" s="23">
        <v>131258.89700034028</v>
      </c>
      <c r="E35" s="23">
        <v>437405.03184779221</v>
      </c>
      <c r="F35" s="23">
        <v>112822.04156556609</v>
      </c>
      <c r="G35" s="23">
        <v>-216194.22953687143</v>
      </c>
      <c r="H35" s="23">
        <v>-287848.18364481628</v>
      </c>
      <c r="I35" s="23">
        <v>-27532.612424816005</v>
      </c>
      <c r="J35" s="23">
        <v>-2202470.3916392699</v>
      </c>
    </row>
    <row r="36" spans="1:10">
      <c r="A36" s="11">
        <v>2004</v>
      </c>
      <c r="B36" s="23">
        <v>1775858.8729848866</v>
      </c>
      <c r="C36" s="23">
        <v>263112.41475848143</v>
      </c>
      <c r="D36" s="23">
        <v>269017.76779415086</v>
      </c>
      <c r="E36" s="23">
        <v>489051.32088107988</v>
      </c>
      <c r="F36" s="23">
        <v>127937.9976763801</v>
      </c>
      <c r="G36" s="23">
        <v>-431207.24425855465</v>
      </c>
      <c r="H36" s="23">
        <v>-343100.71725131245</v>
      </c>
      <c r="I36" s="23">
        <v>-65222.557973122224</v>
      </c>
      <c r="J36" s="23">
        <v>-2366726.8748681452</v>
      </c>
    </row>
    <row r="37" spans="1:10">
      <c r="A37" s="11">
        <v>2005</v>
      </c>
      <c r="B37" s="23">
        <v>1523054.3064006041</v>
      </c>
      <c r="C37" s="23">
        <v>371384.7935450566</v>
      </c>
      <c r="D37" s="23">
        <v>493764.4360688813</v>
      </c>
      <c r="E37" s="23">
        <v>457096.28530223202</v>
      </c>
      <c r="F37" s="23">
        <v>168455.33083624189</v>
      </c>
      <c r="G37" s="23">
        <v>-439069.0015201401</v>
      </c>
      <c r="H37" s="23">
        <v>-304680.93505169428</v>
      </c>
      <c r="I37" s="23">
        <v>-23859.022333766334</v>
      </c>
      <c r="J37" s="23">
        <v>-2066109.7327416986</v>
      </c>
    </row>
    <row r="38" spans="1:10">
      <c r="A38" s="11">
        <v>2006</v>
      </c>
      <c r="B38" s="23">
        <v>1793057.881633589</v>
      </c>
      <c r="C38" s="23">
        <v>478915.3779515035</v>
      </c>
      <c r="D38" s="23">
        <v>779965.06931635644</v>
      </c>
      <c r="E38" s="23">
        <v>495424.00179178338</v>
      </c>
      <c r="F38" s="23">
        <v>207673.99613610515</v>
      </c>
      <c r="G38" s="23">
        <v>-761654.85832109116</v>
      </c>
      <c r="H38" s="23">
        <v>-452592.33531533461</v>
      </c>
      <c r="I38" s="23">
        <v>-29164.36530801747</v>
      </c>
      <c r="J38" s="23">
        <v>-2356650.1662535854</v>
      </c>
    </row>
    <row r="39" spans="1:10">
      <c r="A39" s="11">
        <v>2007</v>
      </c>
      <c r="B39" s="23">
        <v>2180351.8067171359</v>
      </c>
      <c r="C39" s="23">
        <v>853777.39162001433</v>
      </c>
      <c r="D39" s="23">
        <v>853502.03825531062</v>
      </c>
      <c r="E39" s="23">
        <v>660433.32407568861</v>
      </c>
      <c r="F39" s="23">
        <v>225858.11475218739</v>
      </c>
      <c r="G39" s="23">
        <v>-651921.41404060833</v>
      </c>
      <c r="H39" s="23">
        <v>-626855.57455937751</v>
      </c>
      <c r="I39" s="23">
        <v>-111157.26553489082</v>
      </c>
      <c r="J39" s="23">
        <v>-2013691.3242813684</v>
      </c>
    </row>
    <row r="40" spans="1:10">
      <c r="A40" s="11">
        <v>2008</v>
      </c>
      <c r="B40" s="23">
        <v>2474104.7873010286</v>
      </c>
      <c r="C40" s="23">
        <v>1443131.5365181437</v>
      </c>
      <c r="D40" s="23">
        <v>781585.72291191295</v>
      </c>
      <c r="E40" s="23">
        <v>587822.04735192936</v>
      </c>
      <c r="F40" s="23">
        <v>210606.53390210343</v>
      </c>
      <c r="G40" s="23">
        <v>-156511.72771959752</v>
      </c>
      <c r="H40" s="23">
        <v>-596545.07797371503</v>
      </c>
      <c r="I40" s="23">
        <v>-415776.3631834304</v>
      </c>
      <c r="J40" s="23">
        <v>-3487282.3246877752</v>
      </c>
    </row>
    <row r="41" spans="1:10">
      <c r="A41" s="11">
        <v>2009</v>
      </c>
      <c r="B41" s="23">
        <v>2884834.2156930738</v>
      </c>
      <c r="C41" s="23">
        <v>1308277.733474914</v>
      </c>
      <c r="D41" s="23">
        <v>1021726.0087849023</v>
      </c>
      <c r="E41" s="23">
        <v>718458.71811386896</v>
      </c>
      <c r="F41" s="23">
        <v>323808.37109177758</v>
      </c>
      <c r="G41" s="23">
        <v>-502030.73321893997</v>
      </c>
      <c r="H41" s="23">
        <v>-652235.27141180774</v>
      </c>
      <c r="I41" s="23">
        <v>-357351.44366011862</v>
      </c>
      <c r="J41" s="23">
        <v>-2559274.470427271</v>
      </c>
    </row>
    <row r="42" spans="1:10">
      <c r="A42" s="11">
        <v>2010</v>
      </c>
      <c r="B42" s="23">
        <v>3106645.0694196746</v>
      </c>
      <c r="C42" s="23">
        <v>1499730.0256432127</v>
      </c>
      <c r="D42" s="23">
        <v>1007762.2919210065</v>
      </c>
      <c r="E42" s="23">
        <v>798536.24705202086</v>
      </c>
      <c r="F42" s="23">
        <v>381808.30439262849</v>
      </c>
      <c r="G42" s="23">
        <v>-571110.80275449529</v>
      </c>
      <c r="H42" s="23">
        <v>-616668.20082269749</v>
      </c>
      <c r="I42" s="23">
        <v>-449938.53179748077</v>
      </c>
      <c r="J42" s="23">
        <v>-2617578.3375552371</v>
      </c>
    </row>
    <row r="43" spans="1:10">
      <c r="A43" s="11">
        <v>2011</v>
      </c>
      <c r="B43" s="23">
        <v>3379979.4493028396</v>
      </c>
      <c r="C43" s="23">
        <v>1533845.4334102538</v>
      </c>
      <c r="D43" s="23">
        <v>946970.69062885828</v>
      </c>
      <c r="E43" s="23">
        <v>834495.59852691973</v>
      </c>
      <c r="F43" s="23">
        <v>420218.61157408683</v>
      </c>
      <c r="G43" s="23">
        <v>-422907.48585966602</v>
      </c>
      <c r="H43" s="23">
        <v>-578523.01785520231</v>
      </c>
      <c r="I43" s="23">
        <v>-625438.81034917384</v>
      </c>
      <c r="J43" s="23">
        <v>-4130713.0261156708</v>
      </c>
    </row>
    <row r="44" spans="1:10">
      <c r="A44" s="11">
        <v>2012</v>
      </c>
      <c r="B44" s="23">
        <v>3385977.7511394881</v>
      </c>
      <c r="C44" s="23">
        <v>1473852.1960309618</v>
      </c>
      <c r="D44" s="23">
        <v>1260862.7296515564</v>
      </c>
      <c r="E44" s="23">
        <v>898882.04561074963</v>
      </c>
      <c r="F44" s="23">
        <v>516303.63780237036</v>
      </c>
      <c r="G44" s="23">
        <v>-266811.22388239205</v>
      </c>
      <c r="H44" s="23">
        <v>-687824.53834109195</v>
      </c>
      <c r="I44" s="23">
        <v>-712677.16817752365</v>
      </c>
      <c r="J44" s="23">
        <v>-4297128.6199871078</v>
      </c>
    </row>
    <row r="46" spans="1:10">
      <c r="A46" s="11" t="s">
        <v>524</v>
      </c>
    </row>
    <row r="47" spans="1:10">
      <c r="A47" s="11" t="s">
        <v>160</v>
      </c>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3"/>
  <sheetViews>
    <sheetView workbookViewId="0">
      <pane xSplit="1" ySplit="3" topLeftCell="B4" activePane="bottomRight" state="frozen"/>
      <selection pane="topRight" activeCell="B1" sqref="B1"/>
      <selection pane="bottomLeft" activeCell="A4" sqref="A4"/>
      <selection pane="bottomRight"/>
    </sheetView>
  </sheetViews>
  <sheetFormatPr baseColWidth="12" defaultRowHeight="18" x14ac:dyDescent="0"/>
  <cols>
    <col min="1" max="2" width="12.83203125" style="11"/>
    <col min="3" max="3" width="25.5" style="11" customWidth="1"/>
    <col min="4" max="4" width="25.1640625" style="11" customWidth="1"/>
    <col min="5" max="5" width="21.33203125" style="21" customWidth="1"/>
    <col min="6" max="6" width="20" style="21" customWidth="1"/>
    <col min="7" max="7" width="12.83203125" style="11"/>
    <col min="8" max="8" width="15.5" style="11" customWidth="1"/>
    <col min="9" max="10" width="12.83203125" style="11"/>
    <col min="11" max="11" width="12.83203125" style="23"/>
  </cols>
  <sheetData>
    <row r="1" spans="1:13">
      <c r="B1" s="11" t="s">
        <v>257</v>
      </c>
      <c r="C1" s="11" t="s">
        <v>258</v>
      </c>
      <c r="D1" s="11" t="s">
        <v>259</v>
      </c>
      <c r="E1" s="21" t="s">
        <v>260</v>
      </c>
      <c r="F1" s="21" t="s">
        <v>261</v>
      </c>
      <c r="H1" s="11" t="s">
        <v>262</v>
      </c>
      <c r="I1" s="11" t="s">
        <v>263</v>
      </c>
      <c r="J1" s="11" t="s">
        <v>640</v>
      </c>
      <c r="K1" s="23" t="s">
        <v>663</v>
      </c>
      <c r="M1" s="11" t="s">
        <v>257</v>
      </c>
    </row>
    <row r="2" spans="1:13">
      <c r="B2" s="11" t="s">
        <v>637</v>
      </c>
      <c r="C2" s="11" t="s">
        <v>637</v>
      </c>
      <c r="D2" s="11" t="s">
        <v>637</v>
      </c>
      <c r="H2" s="11" t="s">
        <v>443</v>
      </c>
      <c r="I2" s="11" t="s">
        <v>443</v>
      </c>
      <c r="J2" s="11" t="s">
        <v>641</v>
      </c>
      <c r="M2" s="11" t="s">
        <v>132</v>
      </c>
    </row>
    <row r="3" spans="1:13">
      <c r="B3" s="11" t="s">
        <v>264</v>
      </c>
      <c r="C3" s="11" t="s">
        <v>265</v>
      </c>
      <c r="D3" s="11" t="s">
        <v>635</v>
      </c>
      <c r="H3" s="11" t="s">
        <v>266</v>
      </c>
      <c r="I3" s="11" t="s">
        <v>267</v>
      </c>
      <c r="J3" s="11" t="s">
        <v>639</v>
      </c>
      <c r="K3" s="23" t="s">
        <v>268</v>
      </c>
      <c r="M3" s="11" t="s">
        <v>264</v>
      </c>
    </row>
    <row r="4" spans="1:13">
      <c r="A4" s="11">
        <v>1970</v>
      </c>
      <c r="B4" s="23">
        <f>M4/K4</f>
        <v>203.7358331301634</v>
      </c>
      <c r="C4" s="23">
        <f>(H4-I4)/1000</f>
        <v>-0.20899999999999999</v>
      </c>
      <c r="D4" s="23">
        <f>'NFA in dollar'!M2/1000</f>
        <v>12.147558074870281</v>
      </c>
      <c r="E4" s="21">
        <f t="shared" ref="E4:E47" si="0">C4/B4*100</f>
        <v>-0.10258381983618631</v>
      </c>
      <c r="F4" s="21">
        <f t="shared" ref="F4:F47" si="1">D4/B4*100</f>
        <v>5.9624062631679573</v>
      </c>
      <c r="H4" s="11">
        <v>710</v>
      </c>
      <c r="I4" s="11">
        <v>919</v>
      </c>
      <c r="K4" s="23">
        <v>360.00000035900001</v>
      </c>
      <c r="M4" s="23">
        <v>73344.899999999994</v>
      </c>
    </row>
    <row r="5" spans="1:13">
      <c r="A5" s="11">
        <v>1971</v>
      </c>
      <c r="B5" s="23">
        <f t="shared" ref="B5:B47" si="2">M5/K5</f>
        <v>230.12955054788057</v>
      </c>
      <c r="C5" s="23">
        <f t="shared" ref="C5:C28" si="3">(H5-I5)/1000</f>
        <v>-4.7E-2</v>
      </c>
      <c r="D5" s="23">
        <f>'NFA in dollar'!M3/1000</f>
        <v>17.916890159404225</v>
      </c>
      <c r="E5" s="21">
        <f t="shared" si="0"/>
        <v>-2.0423278926198232E-2</v>
      </c>
      <c r="F5" s="21">
        <f t="shared" si="1"/>
        <v>7.7855669194801873</v>
      </c>
      <c r="H5" s="11">
        <v>980</v>
      </c>
      <c r="I5" s="11">
        <v>1027</v>
      </c>
      <c r="K5" s="23">
        <v>350.677693533362</v>
      </c>
      <c r="M5" s="23">
        <v>80701.3</v>
      </c>
    </row>
    <row r="6" spans="1:13">
      <c r="A6" s="11">
        <v>1972</v>
      </c>
      <c r="B6" s="23">
        <f t="shared" si="2"/>
        <v>304.7585120692172</v>
      </c>
      <c r="C6" s="23">
        <f t="shared" si="3"/>
        <v>0.36699999999999999</v>
      </c>
      <c r="D6" s="23">
        <f>'NFA in dollar'!M4/1000</f>
        <v>23.128258376259939</v>
      </c>
      <c r="E6" s="21">
        <f t="shared" si="0"/>
        <v>0.12042321558409709</v>
      </c>
      <c r="F6" s="21">
        <f t="shared" si="1"/>
        <v>7.5890442630219352</v>
      </c>
      <c r="H6" s="11">
        <v>1622</v>
      </c>
      <c r="I6" s="11">
        <v>1255</v>
      </c>
      <c r="K6" s="23">
        <v>303.17249999900002</v>
      </c>
      <c r="M6" s="23">
        <v>92394.4</v>
      </c>
    </row>
    <row r="7" spans="1:13">
      <c r="A7" s="11">
        <v>1973</v>
      </c>
      <c r="B7" s="23">
        <f t="shared" si="2"/>
        <v>414.05009170686606</v>
      </c>
      <c r="C7" s="23">
        <f t="shared" si="3"/>
        <v>0.49</v>
      </c>
      <c r="D7" s="23">
        <f>'NFA in dollar'!M5/1000</f>
        <v>16.107272363549622</v>
      </c>
      <c r="E7" s="21">
        <f t="shared" si="0"/>
        <v>0.11834316905474905</v>
      </c>
      <c r="F7" s="21">
        <f t="shared" si="1"/>
        <v>3.8901748088376333</v>
      </c>
      <c r="H7" s="11">
        <v>2655</v>
      </c>
      <c r="I7" s="11">
        <v>2165</v>
      </c>
      <c r="K7" s="23">
        <v>271.70166666608299</v>
      </c>
      <c r="M7" s="23">
        <v>112498.1</v>
      </c>
    </row>
    <row r="8" spans="1:13">
      <c r="A8" s="11">
        <v>1974</v>
      </c>
      <c r="B8" s="23">
        <f t="shared" si="2"/>
        <v>459.6091857620525</v>
      </c>
      <c r="C8" s="23">
        <f t="shared" si="3"/>
        <v>-0.45100000000000001</v>
      </c>
      <c r="D8" s="23">
        <f>'NFA in dollar'!M6/1000</f>
        <v>-8.4551768530085241</v>
      </c>
      <c r="E8" s="21">
        <f t="shared" si="0"/>
        <v>-9.8126846453736968E-2</v>
      </c>
      <c r="F8" s="21">
        <f t="shared" si="1"/>
        <v>-1.8396448798101075</v>
      </c>
      <c r="H8" s="11">
        <v>3562</v>
      </c>
      <c r="I8" s="11">
        <v>4013</v>
      </c>
      <c r="K8" s="23">
        <v>292.08249999924999</v>
      </c>
      <c r="M8" s="23">
        <v>134243.79999999999</v>
      </c>
    </row>
    <row r="9" spans="1:13">
      <c r="A9" s="11">
        <v>1975</v>
      </c>
      <c r="B9" s="23">
        <f t="shared" si="2"/>
        <v>499.77542854876413</v>
      </c>
      <c r="C9" s="23">
        <f t="shared" si="3"/>
        <v>-0.27300000000000002</v>
      </c>
      <c r="D9" s="23">
        <f>'NFA in dollar'!M7/1000</f>
        <v>9.1173013343063651</v>
      </c>
      <c r="E9" s="21">
        <f t="shared" si="0"/>
        <v>-5.4624534221846571E-2</v>
      </c>
      <c r="F9" s="21">
        <f t="shared" si="1"/>
        <v>1.824279629108811</v>
      </c>
      <c r="H9" s="11">
        <v>3616</v>
      </c>
      <c r="I9" s="11">
        <v>3889</v>
      </c>
      <c r="K9" s="23">
        <v>296.78749999916698</v>
      </c>
      <c r="M9" s="23">
        <v>148327.1</v>
      </c>
    </row>
    <row r="10" spans="1:13">
      <c r="A10" s="11">
        <v>1976</v>
      </c>
      <c r="B10" s="23">
        <f t="shared" si="2"/>
        <v>561.69919323043257</v>
      </c>
      <c r="C10" s="23">
        <f t="shared" si="3"/>
        <v>-0.20399999999999999</v>
      </c>
      <c r="D10" s="23">
        <f>'NFA in dollar'!M8/1000</f>
        <v>14.101077037747302</v>
      </c>
      <c r="E10" s="21">
        <f t="shared" si="0"/>
        <v>-3.6318371551641276E-2</v>
      </c>
      <c r="F10" s="21">
        <f t="shared" si="1"/>
        <v>2.5104321330158026</v>
      </c>
      <c r="H10" s="11">
        <v>3460</v>
      </c>
      <c r="I10" s="11">
        <v>3664</v>
      </c>
      <c r="K10" s="23">
        <v>296.55249999916703</v>
      </c>
      <c r="M10" s="23">
        <v>166573.29999999999</v>
      </c>
    </row>
    <row r="11" spans="1:13">
      <c r="A11" s="11">
        <v>1977</v>
      </c>
      <c r="B11" s="23">
        <f t="shared" si="2"/>
        <v>691.30386205527213</v>
      </c>
      <c r="C11" s="23">
        <f t="shared" si="3"/>
        <v>0.115</v>
      </c>
      <c r="D11" s="23">
        <f>'NFA in dollar'!M9/1000</f>
        <v>31.157554024510311</v>
      </c>
      <c r="E11" s="21">
        <f t="shared" si="0"/>
        <v>1.6635231815152994E-2</v>
      </c>
      <c r="F11" s="21">
        <f t="shared" si="1"/>
        <v>4.5070707303554967</v>
      </c>
      <c r="H11" s="11">
        <v>3738</v>
      </c>
      <c r="I11" s="11">
        <v>3623</v>
      </c>
      <c r="K11" s="23">
        <v>268.50999999933299</v>
      </c>
      <c r="M11" s="23">
        <v>185622</v>
      </c>
    </row>
    <row r="12" spans="1:13">
      <c r="A12" s="11">
        <v>1978</v>
      </c>
      <c r="B12" s="23">
        <f t="shared" si="2"/>
        <v>971.31002257465275</v>
      </c>
      <c r="C12" s="23">
        <f t="shared" si="3"/>
        <v>0.9</v>
      </c>
      <c r="D12" s="23">
        <f>'NFA in dollar'!M10/1000</f>
        <v>49.192534208867144</v>
      </c>
      <c r="E12" s="21">
        <f t="shared" si="0"/>
        <v>9.2658366441475487E-2</v>
      </c>
      <c r="F12" s="21">
        <f t="shared" si="1"/>
        <v>5.0645554010111447</v>
      </c>
      <c r="H12" s="11">
        <v>5278</v>
      </c>
      <c r="I12" s="11">
        <v>4378</v>
      </c>
      <c r="K12" s="23">
        <v>210.441666666</v>
      </c>
      <c r="M12" s="23">
        <v>204404.1</v>
      </c>
    </row>
    <row r="13" spans="1:13">
      <c r="A13" s="11">
        <v>1979</v>
      </c>
      <c r="B13" s="23">
        <f t="shared" si="2"/>
        <v>1010.9820206291608</v>
      </c>
      <c r="C13" s="23">
        <f t="shared" si="3"/>
        <v>2.0110000000000001</v>
      </c>
      <c r="D13" s="23">
        <f>'NFA in dollar'!M11/1000</f>
        <v>27.533791091778838</v>
      </c>
      <c r="E13" s="21">
        <f t="shared" si="0"/>
        <v>0.1989155058117158</v>
      </c>
      <c r="F13" s="21">
        <f t="shared" si="1"/>
        <v>2.7234699064819998</v>
      </c>
      <c r="H13" s="11">
        <v>8965</v>
      </c>
      <c r="I13" s="11">
        <v>6954</v>
      </c>
      <c r="K13" s="23">
        <v>219.13999999933301</v>
      </c>
      <c r="M13" s="23">
        <v>221546.6</v>
      </c>
    </row>
    <row r="14" spans="1:13">
      <c r="A14" s="11">
        <v>1980</v>
      </c>
      <c r="B14" s="23">
        <f t="shared" si="2"/>
        <v>1070.9967694417746</v>
      </c>
      <c r="C14" s="23">
        <f t="shared" si="3"/>
        <v>0.85399999999999998</v>
      </c>
      <c r="D14" s="23">
        <f>'NFA in dollar'!M12/1000</f>
        <v>11.436454959737283</v>
      </c>
      <c r="E14" s="21">
        <f t="shared" si="0"/>
        <v>7.9738802615167761E-2</v>
      </c>
      <c r="F14" s="21">
        <f t="shared" si="1"/>
        <v>1.0678328157514607</v>
      </c>
      <c r="H14" s="11">
        <v>11115</v>
      </c>
      <c r="I14" s="11">
        <v>10261</v>
      </c>
      <c r="K14" s="23">
        <v>226.74083333283301</v>
      </c>
      <c r="M14" s="23">
        <v>242838.7</v>
      </c>
    </row>
    <row r="15" spans="1:13">
      <c r="A15" s="11">
        <v>1981</v>
      </c>
      <c r="B15" s="23">
        <f t="shared" si="2"/>
        <v>1183.7903893200601</v>
      </c>
      <c r="C15" s="23">
        <f t="shared" si="3"/>
        <v>-0.76300000000000001</v>
      </c>
      <c r="D15" s="23">
        <f>'NFA in dollar'!M13/1000</f>
        <v>11.818417311538301</v>
      </c>
      <c r="E15" s="21">
        <f t="shared" si="0"/>
        <v>-6.4453978245105403E-2</v>
      </c>
      <c r="F15" s="21">
        <f t="shared" si="1"/>
        <v>0.99835388242394063</v>
      </c>
      <c r="H15" s="11">
        <v>15761</v>
      </c>
      <c r="I15" s="11">
        <v>16524</v>
      </c>
      <c r="K15" s="23">
        <v>220.53583333275</v>
      </c>
      <c r="M15" s="23">
        <v>261068.2</v>
      </c>
    </row>
    <row r="16" spans="1:13">
      <c r="A16" s="11">
        <v>1982</v>
      </c>
      <c r="B16" s="23">
        <f t="shared" si="2"/>
        <v>1100.4105830905505</v>
      </c>
      <c r="C16" s="23">
        <f t="shared" si="3"/>
        <v>1.718</v>
      </c>
      <c r="D16" s="23">
        <f>'NFA in dollar'!M14/1000</f>
        <v>25.633967785404586</v>
      </c>
      <c r="E16" s="21">
        <f t="shared" si="0"/>
        <v>0.15612354392075392</v>
      </c>
      <c r="F16" s="21">
        <f t="shared" si="1"/>
        <v>2.3294912080371386</v>
      </c>
      <c r="H16" s="11">
        <v>18320</v>
      </c>
      <c r="I16" s="11">
        <v>16602</v>
      </c>
      <c r="K16" s="23">
        <v>249.07666666583299</v>
      </c>
      <c r="M16" s="23">
        <v>274086.59999999998</v>
      </c>
    </row>
    <row r="17" spans="1:13">
      <c r="A17" s="11">
        <v>1983</v>
      </c>
      <c r="B17" s="23">
        <f t="shared" si="2"/>
        <v>1200.1865171564928</v>
      </c>
      <c r="C17" s="23">
        <f t="shared" si="3"/>
        <v>3.0819999999999999</v>
      </c>
      <c r="D17" s="23">
        <f>'NFA in dollar'!M15/1000</f>
        <v>37.241576766151788</v>
      </c>
      <c r="E17" s="21">
        <f t="shared" si="0"/>
        <v>0.2567934196846286</v>
      </c>
      <c r="F17" s="21">
        <f t="shared" si="1"/>
        <v>3.1029824309629235</v>
      </c>
      <c r="H17" s="11">
        <v>15601</v>
      </c>
      <c r="I17" s="11">
        <v>12519</v>
      </c>
      <c r="K17" s="23">
        <v>237.51166666608299</v>
      </c>
      <c r="M17" s="23">
        <v>285058.3</v>
      </c>
    </row>
    <row r="18" spans="1:13">
      <c r="A18" s="11">
        <v>1984</v>
      </c>
      <c r="B18" s="23">
        <f t="shared" si="2"/>
        <v>1275.5629466717924</v>
      </c>
      <c r="C18" s="23">
        <f t="shared" si="3"/>
        <v>4.2309999999999999</v>
      </c>
      <c r="D18" s="23">
        <f>'NFA in dollar'!M16/1000</f>
        <v>74.389151068400011</v>
      </c>
      <c r="E18" s="21">
        <f t="shared" si="0"/>
        <v>0.3316966842788554</v>
      </c>
      <c r="F18" s="21">
        <f t="shared" si="1"/>
        <v>5.8318682948965161</v>
      </c>
      <c r="H18" s="11">
        <v>18768</v>
      </c>
      <c r="I18" s="11">
        <v>14537</v>
      </c>
      <c r="K18" s="23">
        <v>237.52249999933301</v>
      </c>
      <c r="M18" s="23">
        <v>302974.90000000002</v>
      </c>
    </row>
    <row r="19" spans="1:13">
      <c r="A19" s="11">
        <v>1985</v>
      </c>
      <c r="B19" s="23">
        <f t="shared" si="2"/>
        <v>1364.1635952702945</v>
      </c>
      <c r="C19" s="23">
        <f t="shared" si="3"/>
        <v>6.84</v>
      </c>
      <c r="D19" s="23">
        <f>'NFA in dollar'!M17/1000</f>
        <v>129.86865286527387</v>
      </c>
      <c r="E19" s="21">
        <f t="shared" si="0"/>
        <v>0.5014061380698791</v>
      </c>
      <c r="F19" s="21">
        <f t="shared" si="1"/>
        <v>9.5200204224436717</v>
      </c>
      <c r="H19" s="11">
        <v>22107</v>
      </c>
      <c r="I19" s="11">
        <v>15267</v>
      </c>
      <c r="K19" s="23">
        <v>238.53583333275</v>
      </c>
      <c r="M19" s="23">
        <v>325401.90000000002</v>
      </c>
    </row>
    <row r="20" spans="1:13">
      <c r="A20" s="11">
        <v>1986</v>
      </c>
      <c r="B20" s="23">
        <f t="shared" si="2"/>
        <v>2020.8867601172913</v>
      </c>
      <c r="C20" s="23">
        <f t="shared" si="3"/>
        <v>9.4730000000000008</v>
      </c>
      <c r="D20" s="23">
        <f>'NFA in dollar'!M18/1000</f>
        <v>180.40660019760008</v>
      </c>
      <c r="E20" s="21">
        <f t="shared" si="0"/>
        <v>0.46875461737649232</v>
      </c>
      <c r="F20" s="21">
        <f t="shared" si="1"/>
        <v>8.9271009023350416</v>
      </c>
      <c r="H20" s="11">
        <v>29086</v>
      </c>
      <c r="I20" s="11">
        <v>19613</v>
      </c>
      <c r="K20" s="23">
        <v>168.519833333083</v>
      </c>
      <c r="M20" s="23">
        <v>340559.5</v>
      </c>
    </row>
    <row r="21" spans="1:13">
      <c r="A21" s="11">
        <v>1987</v>
      </c>
      <c r="B21" s="23">
        <f t="shared" si="2"/>
        <v>2448.6747904243371</v>
      </c>
      <c r="C21" s="23">
        <f t="shared" si="3"/>
        <v>16.670000000000002</v>
      </c>
      <c r="D21" s="23">
        <f>'NFA in dollar'!M19/1000</f>
        <v>240.79286960440001</v>
      </c>
      <c r="E21" s="21">
        <f t="shared" si="0"/>
        <v>0.68077639648959731</v>
      </c>
      <c r="F21" s="21">
        <f t="shared" si="1"/>
        <v>9.8335994042995143</v>
      </c>
      <c r="H21" s="11">
        <v>49245</v>
      </c>
      <c r="I21" s="11">
        <v>32575</v>
      </c>
      <c r="K21" s="23">
        <v>144.63749999999999</v>
      </c>
      <c r="M21" s="23">
        <v>354170.2</v>
      </c>
    </row>
    <row r="22" spans="1:13">
      <c r="A22" s="11">
        <v>1988</v>
      </c>
      <c r="B22" s="23">
        <f t="shared" si="2"/>
        <v>2971.0335409865834</v>
      </c>
      <c r="C22" s="23">
        <f t="shared" si="3"/>
        <v>21.032</v>
      </c>
      <c r="D22" s="23">
        <f>'NFA in dollar'!M20/1000</f>
        <v>291.79818777099996</v>
      </c>
      <c r="E22" s="21">
        <f t="shared" si="0"/>
        <v>0.70790180285261795</v>
      </c>
      <c r="F22" s="21">
        <f t="shared" si="1"/>
        <v>9.8214370099000394</v>
      </c>
      <c r="H22" s="11">
        <v>74837</v>
      </c>
      <c r="I22" s="11">
        <v>53805</v>
      </c>
      <c r="K22" s="23">
        <v>128.15166666666701</v>
      </c>
      <c r="M22" s="23">
        <v>380742.9</v>
      </c>
    </row>
    <row r="23" spans="1:13">
      <c r="A23" s="11">
        <v>1989</v>
      </c>
      <c r="B23" s="23">
        <f t="shared" si="2"/>
        <v>2972.666502775769</v>
      </c>
      <c r="C23" s="23">
        <f t="shared" si="3"/>
        <v>23.442</v>
      </c>
      <c r="D23" s="23">
        <f>'NFA in dollar'!M21/1000</f>
        <v>293.27735094320008</v>
      </c>
      <c r="E23" s="21">
        <f t="shared" si="0"/>
        <v>0.7885849279800039</v>
      </c>
      <c r="F23" s="21">
        <f t="shared" si="1"/>
        <v>9.8658006429361738</v>
      </c>
      <c r="H23" s="11">
        <v>101785</v>
      </c>
      <c r="I23" s="11">
        <v>78343</v>
      </c>
      <c r="K23" s="23">
        <v>137.96441666666701</v>
      </c>
      <c r="M23" s="23">
        <v>410122.2</v>
      </c>
    </row>
    <row r="24" spans="1:13">
      <c r="A24" s="11">
        <v>1990</v>
      </c>
      <c r="B24" s="23">
        <f t="shared" si="2"/>
        <v>3058.0382271181174</v>
      </c>
      <c r="C24" s="23">
        <f t="shared" si="3"/>
        <v>23.204000000000001</v>
      </c>
      <c r="D24" s="23">
        <f>'NFA in dollar'!M22/1000</f>
        <v>328.15059297060014</v>
      </c>
      <c r="E24" s="21">
        <f t="shared" si="0"/>
        <v>0.75878711371987506</v>
      </c>
      <c r="F24" s="21">
        <f t="shared" si="1"/>
        <v>10.730755098501431</v>
      </c>
      <c r="H24" s="11">
        <v>122167</v>
      </c>
      <c r="I24" s="11">
        <v>98963</v>
      </c>
      <c r="K24" s="23">
        <v>144.79249999999999</v>
      </c>
      <c r="M24" s="23">
        <v>442781</v>
      </c>
    </row>
    <row r="25" spans="1:13">
      <c r="A25" s="11">
        <v>1991</v>
      </c>
      <c r="B25" s="23">
        <f t="shared" si="2"/>
        <v>3484.7703652380396</v>
      </c>
      <c r="C25" s="23">
        <f t="shared" si="3"/>
        <v>26.724</v>
      </c>
      <c r="D25" s="23">
        <f>'NFA in dollar'!M23/1000</f>
        <v>383.12883112460003</v>
      </c>
      <c r="E25" s="21">
        <f t="shared" si="0"/>
        <v>0.76687979978774068</v>
      </c>
      <c r="F25" s="21">
        <f t="shared" si="1"/>
        <v>10.994378135973074</v>
      </c>
      <c r="H25" s="11">
        <v>140559</v>
      </c>
      <c r="I25" s="11">
        <v>113835</v>
      </c>
      <c r="K25" s="23">
        <v>134.70666666666699</v>
      </c>
      <c r="M25" s="23">
        <v>469421.8</v>
      </c>
    </row>
    <row r="26" spans="1:13">
      <c r="A26" s="11">
        <v>1992</v>
      </c>
      <c r="B26" s="23">
        <f t="shared" si="2"/>
        <v>3796.1132137048266</v>
      </c>
      <c r="C26" s="23">
        <f t="shared" si="3"/>
        <v>36.218000000000004</v>
      </c>
      <c r="D26" s="23">
        <f>'NFA in dollar'!M24/1000</f>
        <v>513.68266999999992</v>
      </c>
      <c r="E26" s="21">
        <f t="shared" si="0"/>
        <v>0.95408113407273631</v>
      </c>
      <c r="F26" s="21">
        <f t="shared" si="1"/>
        <v>13.531805851982742</v>
      </c>
      <c r="H26" s="11">
        <v>142083</v>
      </c>
      <c r="I26" s="11">
        <v>105865</v>
      </c>
      <c r="K26" s="23">
        <v>126.651333333333</v>
      </c>
      <c r="M26" s="23">
        <v>480782.8</v>
      </c>
    </row>
    <row r="27" spans="1:13">
      <c r="A27" s="11">
        <v>1993</v>
      </c>
      <c r="B27" s="23">
        <f t="shared" si="2"/>
        <v>4350.0128745819056</v>
      </c>
      <c r="C27" s="23">
        <f t="shared" si="3"/>
        <v>41.408999999999999</v>
      </c>
      <c r="D27" s="23">
        <f>'NFA in dollar'!M25/1000</f>
        <v>610.88433316535986</v>
      </c>
      <c r="E27" s="21">
        <f t="shared" si="0"/>
        <v>0.95192821708556341</v>
      </c>
      <c r="F27" s="21">
        <f t="shared" si="1"/>
        <v>14.043276440281202</v>
      </c>
      <c r="H27" s="11">
        <v>147468</v>
      </c>
      <c r="I27" s="11">
        <v>106059</v>
      </c>
      <c r="K27" s="23">
        <v>111.197785833333</v>
      </c>
      <c r="M27" s="23">
        <v>483711.8</v>
      </c>
    </row>
    <row r="28" spans="1:13">
      <c r="A28" s="11">
        <v>1994</v>
      </c>
      <c r="B28" s="23">
        <f t="shared" si="2"/>
        <v>4850.347739666704</v>
      </c>
      <c r="C28" s="23">
        <f t="shared" si="3"/>
        <v>41</v>
      </c>
      <c r="D28" s="23">
        <f>'NFA in dollar'!M26/1000</f>
        <v>689.07010199860997</v>
      </c>
      <c r="E28" s="21">
        <f t="shared" si="0"/>
        <v>0.84530021764619612</v>
      </c>
      <c r="F28" s="21">
        <f t="shared" si="1"/>
        <v>14.206612370558819</v>
      </c>
      <c r="H28" s="11">
        <v>154464</v>
      </c>
      <c r="I28" s="11">
        <v>113464</v>
      </c>
      <c r="K28" s="23">
        <v>102.207805833333</v>
      </c>
      <c r="M28" s="23">
        <v>495743.4</v>
      </c>
    </row>
    <row r="29" spans="1:13">
      <c r="A29" s="11">
        <v>1995</v>
      </c>
      <c r="B29" s="23">
        <f t="shared" si="2"/>
        <v>5333.9266924744807</v>
      </c>
      <c r="C29" s="23">
        <f>((H29-I29)/10)/K29</f>
        <v>44.86730684306076</v>
      </c>
      <c r="D29" s="23">
        <f>'NFA in dollar'!M27/1000</f>
        <v>816.03143890268893</v>
      </c>
      <c r="E29" s="21">
        <f t="shared" si="0"/>
        <v>0.84116841925036301</v>
      </c>
      <c r="F29" s="21">
        <f t="shared" si="1"/>
        <v>15.298887404170921</v>
      </c>
      <c r="H29" s="11">
        <v>179980</v>
      </c>
      <c r="I29" s="11">
        <v>137778</v>
      </c>
      <c r="K29" s="23">
        <v>94.059579166666694</v>
      </c>
      <c r="M29" s="23">
        <v>501706.9</v>
      </c>
    </row>
    <row r="30" spans="1:13">
      <c r="A30" s="11">
        <v>1996</v>
      </c>
      <c r="B30" s="23">
        <f t="shared" si="2"/>
        <v>4706.189000780987</v>
      </c>
      <c r="C30" s="23">
        <f>J30/K30</f>
        <v>53.443191898734511</v>
      </c>
      <c r="D30" s="23">
        <f>'NFA in dollar'!M28/1000</f>
        <v>890.06011250250833</v>
      </c>
      <c r="E30" s="21">
        <f t="shared" si="0"/>
        <v>1.1355938295267289</v>
      </c>
      <c r="F30" s="21">
        <f t="shared" si="1"/>
        <v>18.912544998826096</v>
      </c>
      <c r="J30" s="11">
        <v>5813.5</v>
      </c>
      <c r="K30" s="23">
        <v>108.779056666667</v>
      </c>
      <c r="M30" s="23">
        <v>511934.8</v>
      </c>
    </row>
    <row r="31" spans="1:13">
      <c r="A31" s="11">
        <v>1997</v>
      </c>
      <c r="B31" s="23">
        <f t="shared" si="2"/>
        <v>4324.2794471359357</v>
      </c>
      <c r="C31" s="23">
        <f t="shared" ref="C31:C47" si="4">J31/K31</f>
        <v>58.1523253460566</v>
      </c>
      <c r="D31" s="23">
        <f>'NFA in dollar'!M29/1000</f>
        <v>957.57651327870758</v>
      </c>
      <c r="E31" s="21">
        <f t="shared" si="0"/>
        <v>1.3447864796196773</v>
      </c>
      <c r="F31" s="21">
        <f t="shared" si="1"/>
        <v>22.144186678613735</v>
      </c>
      <c r="J31" s="11">
        <v>7035.9</v>
      </c>
      <c r="K31" s="23">
        <v>120.99086250000001</v>
      </c>
      <c r="M31" s="23">
        <v>523198.3</v>
      </c>
    </row>
    <row r="32" spans="1:13">
      <c r="A32" s="11">
        <v>1998</v>
      </c>
      <c r="B32" s="23">
        <f t="shared" si="2"/>
        <v>3914.5748674063016</v>
      </c>
      <c r="C32" s="23">
        <f t="shared" si="4"/>
        <v>54.556232357507</v>
      </c>
      <c r="D32" s="23">
        <f>'NFA in dollar'!M30/1000</f>
        <v>1153.2781299986227</v>
      </c>
      <c r="E32" s="21">
        <f t="shared" si="0"/>
        <v>1.3936694074177862</v>
      </c>
      <c r="F32" s="21">
        <f t="shared" si="1"/>
        <v>29.461133560149676</v>
      </c>
      <c r="J32" s="11">
        <v>7141.7</v>
      </c>
      <c r="K32" s="23">
        <v>130.90530066666699</v>
      </c>
      <c r="M32" s="23">
        <v>512438.6</v>
      </c>
    </row>
    <row r="33" spans="1:13">
      <c r="A33" s="11">
        <v>1999</v>
      </c>
      <c r="B33" s="23">
        <f t="shared" si="2"/>
        <v>4432.5990883512186</v>
      </c>
      <c r="C33" s="23">
        <f t="shared" si="4"/>
        <v>57.676097578191218</v>
      </c>
      <c r="D33" s="23">
        <f>'NFA in dollar'!M31/1000</f>
        <v>828.38509311181633</v>
      </c>
      <c r="E33" s="21">
        <f t="shared" si="0"/>
        <v>1.301180107394843</v>
      </c>
      <c r="F33" s="21">
        <f t="shared" si="1"/>
        <v>18.688473209517092</v>
      </c>
      <c r="J33" s="11">
        <v>6569.7</v>
      </c>
      <c r="K33" s="23">
        <v>113.90680500000001</v>
      </c>
      <c r="M33" s="23">
        <v>504903.2</v>
      </c>
    </row>
    <row r="34" spans="1:13">
      <c r="A34" s="11">
        <v>2000</v>
      </c>
      <c r="B34" s="23">
        <f t="shared" si="2"/>
        <v>4731.1988334423631</v>
      </c>
      <c r="C34" s="23">
        <f t="shared" si="4"/>
        <v>60.368115033229984</v>
      </c>
      <c r="D34" s="23">
        <f>'NFA in dollar'!M32/1000</f>
        <v>1151.8505253737021</v>
      </c>
      <c r="E34" s="21">
        <f t="shared" si="0"/>
        <v>1.2759581061467855</v>
      </c>
      <c r="F34" s="21">
        <f t="shared" si="1"/>
        <v>24.34584903157895</v>
      </c>
      <c r="J34" s="11">
        <v>6505.6</v>
      </c>
      <c r="K34" s="23">
        <v>107.765498333333</v>
      </c>
      <c r="M34" s="23">
        <v>509860</v>
      </c>
    </row>
    <row r="35" spans="1:13">
      <c r="A35" s="11">
        <v>2001</v>
      </c>
      <c r="B35" s="23">
        <f t="shared" si="2"/>
        <v>4159.8582921982434</v>
      </c>
      <c r="C35" s="23">
        <f t="shared" si="4"/>
        <v>69.163768574561217</v>
      </c>
      <c r="D35" s="23">
        <f>'NFA in dollar'!M33/1000</f>
        <v>1354.8245069630855</v>
      </c>
      <c r="E35" s="21">
        <f t="shared" si="0"/>
        <v>1.6626472277740063</v>
      </c>
      <c r="F35" s="21">
        <f t="shared" si="1"/>
        <v>32.569006244853099</v>
      </c>
      <c r="J35" s="11">
        <v>8405.4</v>
      </c>
      <c r="K35" s="23">
        <v>121.5289475</v>
      </c>
      <c r="M35" s="23">
        <v>505543.2</v>
      </c>
    </row>
    <row r="36" spans="1:13">
      <c r="A36" s="11">
        <v>2002</v>
      </c>
      <c r="B36" s="23">
        <f t="shared" si="2"/>
        <v>3980.8189276563089</v>
      </c>
      <c r="C36" s="23">
        <f t="shared" si="4"/>
        <v>66.01029392607488</v>
      </c>
      <c r="D36" s="23">
        <f>'NFA in dollar'!M34/1000</f>
        <v>1455.7278093443549</v>
      </c>
      <c r="E36" s="21">
        <f t="shared" si="0"/>
        <v>1.6582089043908905</v>
      </c>
      <c r="F36" s="21">
        <f t="shared" si="1"/>
        <v>36.568551240320012</v>
      </c>
      <c r="J36" s="11">
        <v>8276.9</v>
      </c>
      <c r="K36" s="23">
        <v>125.38801916666699</v>
      </c>
      <c r="M36" s="23">
        <v>499147</v>
      </c>
    </row>
    <row r="37" spans="1:13">
      <c r="A37" s="11">
        <v>2003</v>
      </c>
      <c r="B37" s="23">
        <f t="shared" si="2"/>
        <v>4302.9405149391705</v>
      </c>
      <c r="C37" s="23">
        <f t="shared" si="4"/>
        <v>71.549660485216179</v>
      </c>
      <c r="D37" s="23">
        <f>'NFA in dollar'!M35/1000</f>
        <v>1603.8555719942906</v>
      </c>
      <c r="E37" s="21">
        <f t="shared" si="0"/>
        <v>1.6628084965805683</v>
      </c>
      <c r="F37" s="21">
        <f t="shared" si="1"/>
        <v>37.273477670117501</v>
      </c>
      <c r="J37" s="11">
        <v>8295</v>
      </c>
      <c r="K37" s="23">
        <v>115.93346416666699</v>
      </c>
      <c r="M37" s="23">
        <v>498854.8</v>
      </c>
    </row>
    <row r="38" spans="1:13">
      <c r="A38" s="11">
        <v>2004</v>
      </c>
      <c r="B38" s="23">
        <f t="shared" si="2"/>
        <v>4655.8215955111318</v>
      </c>
      <c r="C38" s="23">
        <f t="shared" si="4"/>
        <v>85.821051034442704</v>
      </c>
      <c r="D38" s="23">
        <f>'NFA in dollar'!M36/1000</f>
        <v>1775.8588729848866</v>
      </c>
      <c r="E38" s="21">
        <f t="shared" si="0"/>
        <v>1.8433062623616481</v>
      </c>
      <c r="F38" s="21">
        <f t="shared" si="1"/>
        <v>38.142760338949948</v>
      </c>
      <c r="J38" s="11">
        <v>9285.2000000000007</v>
      </c>
      <c r="K38" s="23">
        <v>108.192569166667</v>
      </c>
      <c r="M38" s="23">
        <v>503725.3</v>
      </c>
    </row>
    <row r="39" spans="1:13">
      <c r="A39" s="11">
        <v>2005</v>
      </c>
      <c r="B39" s="23">
        <f t="shared" si="2"/>
        <v>4571.8669571953687</v>
      </c>
      <c r="C39" s="23">
        <f t="shared" si="4"/>
        <v>103.7414763594646</v>
      </c>
      <c r="D39" s="23">
        <f>'NFA in dollar'!M37/1000</f>
        <v>1523.054306400604</v>
      </c>
      <c r="E39" s="21">
        <f t="shared" si="0"/>
        <v>2.2691271931304242</v>
      </c>
      <c r="F39" s="21">
        <f t="shared" si="1"/>
        <v>33.313618280242522</v>
      </c>
      <c r="J39" s="11">
        <v>11434.2</v>
      </c>
      <c r="K39" s="23">
        <v>110.218211666667</v>
      </c>
      <c r="M39" s="23">
        <v>503903</v>
      </c>
    </row>
    <row r="40" spans="1:13">
      <c r="A40" s="11">
        <v>2006</v>
      </c>
      <c r="B40" s="23">
        <f t="shared" si="2"/>
        <v>4356.7497755468103</v>
      </c>
      <c r="C40" s="23">
        <f t="shared" si="4"/>
        <v>118.78402203784864</v>
      </c>
      <c r="D40" s="23">
        <f>'NFA in dollar'!M38/1000</f>
        <v>1793.057881633589</v>
      </c>
      <c r="E40" s="21">
        <f t="shared" si="0"/>
        <v>2.7264366364244594</v>
      </c>
      <c r="F40" s="21">
        <f t="shared" si="1"/>
        <v>41.155860997514928</v>
      </c>
      <c r="J40" s="11">
        <v>13814.5</v>
      </c>
      <c r="K40" s="23">
        <v>116.29931166666699</v>
      </c>
      <c r="M40" s="23">
        <v>506687</v>
      </c>
    </row>
    <row r="41" spans="1:13">
      <c r="A41" s="11">
        <v>2007</v>
      </c>
      <c r="B41" s="23">
        <f t="shared" si="2"/>
        <v>4356.3467152983649</v>
      </c>
      <c r="C41" s="23">
        <f t="shared" si="4"/>
        <v>139.9032378612003</v>
      </c>
      <c r="D41" s="23">
        <f>'NFA in dollar'!M39/1000</f>
        <v>2180.3518067171358</v>
      </c>
      <c r="E41" s="21">
        <f t="shared" si="0"/>
        <v>3.2114807889348258</v>
      </c>
      <c r="F41" s="21">
        <f t="shared" si="1"/>
        <v>50.050006328933904</v>
      </c>
      <c r="J41" s="11">
        <v>16474.099999999999</v>
      </c>
      <c r="K41" s="23">
        <v>117.75352916666699</v>
      </c>
      <c r="M41" s="23">
        <v>512975.2</v>
      </c>
    </row>
    <row r="42" spans="1:13">
      <c r="A42" s="11">
        <v>2008</v>
      </c>
      <c r="B42" s="23">
        <f t="shared" si="2"/>
        <v>4849.1849249372508</v>
      </c>
      <c r="C42" s="23">
        <f t="shared" si="4"/>
        <v>156.01856569608367</v>
      </c>
      <c r="D42" s="23">
        <f>'NFA in dollar'!M40/1000</f>
        <v>2474.1047873010284</v>
      </c>
      <c r="E42" s="21">
        <f t="shared" si="0"/>
        <v>3.2174183519739157</v>
      </c>
      <c r="F42" s="21">
        <f t="shared" si="1"/>
        <v>51.021044270301651</v>
      </c>
      <c r="J42" s="11">
        <v>16126</v>
      </c>
      <c r="K42" s="23">
        <v>103.359493968254</v>
      </c>
      <c r="M42" s="23">
        <v>501209.3</v>
      </c>
    </row>
    <row r="43" spans="1:13">
      <c r="A43" s="11">
        <v>2009</v>
      </c>
      <c r="B43" s="23">
        <f t="shared" si="2"/>
        <v>5035.1421549007237</v>
      </c>
      <c r="C43" s="23">
        <f t="shared" si="4"/>
        <v>136.5585960713702</v>
      </c>
      <c r="D43" s="23">
        <f>'NFA in dollar'!M41/1000</f>
        <v>2884.8342156930739</v>
      </c>
      <c r="E43" s="21">
        <f t="shared" si="0"/>
        <v>2.7121100431783676</v>
      </c>
      <c r="F43" s="21">
        <f t="shared" si="1"/>
        <v>57.293997407506225</v>
      </c>
      <c r="J43" s="11">
        <v>12777.8</v>
      </c>
      <c r="K43" s="23">
        <v>93.570089087045702</v>
      </c>
      <c r="M43" s="23">
        <v>471138.7</v>
      </c>
    </row>
    <row r="44" spans="1:13">
      <c r="A44" s="11">
        <v>2010</v>
      </c>
      <c r="B44" s="23">
        <f t="shared" si="2"/>
        <v>5495.3871829961026</v>
      </c>
      <c r="C44" s="23">
        <f t="shared" si="4"/>
        <v>141.48459427630763</v>
      </c>
      <c r="D44" s="23">
        <f>'NFA in dollar'!M42/1000</f>
        <v>3106.6450694196747</v>
      </c>
      <c r="E44" s="21">
        <f t="shared" si="0"/>
        <v>2.574606475665465</v>
      </c>
      <c r="F44" s="21">
        <f t="shared" si="1"/>
        <v>56.53186874679723</v>
      </c>
      <c r="J44" s="11">
        <v>12419.5</v>
      </c>
      <c r="K44" s="23">
        <v>87.779875000000004</v>
      </c>
      <c r="M44" s="23">
        <v>482384.4</v>
      </c>
    </row>
    <row r="45" spans="1:13">
      <c r="A45" s="11">
        <v>2011</v>
      </c>
      <c r="B45" s="23">
        <f t="shared" si="2"/>
        <v>5897.0150870134339</v>
      </c>
      <c r="C45" s="23">
        <f t="shared" si="4"/>
        <v>175.9770008895313</v>
      </c>
      <c r="D45" s="23">
        <f>'NFA in dollar'!M43/1000</f>
        <v>3379.9794493028394</v>
      </c>
      <c r="E45" s="21">
        <f t="shared" si="0"/>
        <v>2.984170776111335</v>
      </c>
      <c r="F45" s="21">
        <f t="shared" si="1"/>
        <v>57.316784838253533</v>
      </c>
      <c r="J45" s="11">
        <v>14044.2</v>
      </c>
      <c r="K45" s="23">
        <v>79.807019832189198</v>
      </c>
      <c r="M45" s="23">
        <v>470623.2</v>
      </c>
    </row>
    <row r="46" spans="1:13">
      <c r="A46" s="11">
        <v>2012</v>
      </c>
      <c r="B46" s="23">
        <f t="shared" si="2"/>
        <v>5963.9702206609263</v>
      </c>
      <c r="C46" s="23">
        <f t="shared" si="4"/>
        <v>178.9412019944034</v>
      </c>
      <c r="D46" s="23">
        <f>'NFA in dollar'!M44/1000</f>
        <v>3385.9777511394882</v>
      </c>
      <c r="E46" s="21">
        <f t="shared" si="0"/>
        <v>3.0003704809675118</v>
      </c>
      <c r="F46" s="21">
        <f t="shared" si="1"/>
        <v>56.773887626223839</v>
      </c>
      <c r="J46" s="11">
        <v>14277.8</v>
      </c>
      <c r="K46" s="23">
        <v>79.790455417006498</v>
      </c>
      <c r="M46" s="23">
        <v>475867.9</v>
      </c>
    </row>
    <row r="47" spans="1:13">
      <c r="A47" s="11">
        <v>2013</v>
      </c>
      <c r="B47" s="23">
        <f t="shared" si="2"/>
        <v>5383.8355545001796</v>
      </c>
      <c r="C47" s="23">
        <f t="shared" si="4"/>
        <v>168.86202000008444</v>
      </c>
      <c r="D47" s="23">
        <f>(NFA_in_yen!B21-NFA_in_yen!I21)/'NFA in dollar'!T45</f>
        <v>3086.4862298195631</v>
      </c>
      <c r="E47" s="21">
        <f t="shared" si="0"/>
        <v>3.136463182998559</v>
      </c>
      <c r="F47" s="21">
        <f t="shared" si="1"/>
        <v>57.328761225622237</v>
      </c>
      <c r="J47" s="11">
        <v>16480.2</v>
      </c>
      <c r="K47" s="23">
        <v>97.595658277638506</v>
      </c>
      <c r="M47" s="23">
        <v>525438.97499999998</v>
      </c>
    </row>
    <row r="48" spans="1:13">
      <c r="F48" s="85"/>
      <c r="G48" s="76"/>
      <c r="H48" s="26"/>
    </row>
    <row r="49" spans="1:1">
      <c r="A49" s="11" t="s">
        <v>269</v>
      </c>
    </row>
    <row r="50" spans="1:1">
      <c r="A50" s="11" t="s">
        <v>270</v>
      </c>
    </row>
    <row r="51" spans="1:1">
      <c r="A51" s="11" t="s">
        <v>271</v>
      </c>
    </row>
    <row r="52" spans="1:1">
      <c r="A52" s="11" t="s">
        <v>638</v>
      </c>
    </row>
    <row r="53" spans="1:1">
      <c r="A53" s="11" t="s">
        <v>272</v>
      </c>
    </row>
  </sheetData>
  <phoneticPr fontId="4"/>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workbookViewId="0">
      <selection activeCell="A2" sqref="A2"/>
    </sheetView>
  </sheetViews>
  <sheetFormatPr baseColWidth="12" defaultRowHeight="18" x14ac:dyDescent="0"/>
  <cols>
    <col min="1" max="9" width="12.83203125" style="11"/>
  </cols>
  <sheetData>
    <row r="2" spans="1:9">
      <c r="A2" s="93"/>
      <c r="B2" s="93"/>
      <c r="C2" s="93"/>
      <c r="D2" s="93"/>
      <c r="E2" s="93"/>
      <c r="F2" s="93"/>
      <c r="G2" s="93"/>
      <c r="H2" s="93"/>
      <c r="I2" s="93"/>
    </row>
    <row r="3" spans="1:9">
      <c r="A3" s="93"/>
      <c r="B3" s="93" t="s">
        <v>273</v>
      </c>
      <c r="C3" s="93"/>
      <c r="D3" s="93"/>
      <c r="E3" s="93"/>
      <c r="F3" s="93"/>
      <c r="G3" s="93"/>
      <c r="H3" s="93"/>
      <c r="I3" s="93"/>
    </row>
    <row r="4" spans="1:9">
      <c r="A4" s="93"/>
      <c r="B4" s="93"/>
      <c r="C4" s="93"/>
      <c r="D4" s="93"/>
      <c r="E4" s="93"/>
      <c r="F4" s="93"/>
      <c r="G4" s="93"/>
      <c r="H4" s="93"/>
      <c r="I4" s="93"/>
    </row>
    <row r="5" spans="1:9">
      <c r="A5" s="93"/>
      <c r="B5" s="93"/>
      <c r="C5" s="93"/>
      <c r="D5" s="93"/>
      <c r="E5" s="93"/>
      <c r="F5" s="93"/>
      <c r="G5" s="93"/>
      <c r="H5" s="93"/>
      <c r="I5" s="93"/>
    </row>
    <row r="6" spans="1:9">
      <c r="A6" s="93"/>
      <c r="B6" s="93"/>
      <c r="C6" s="93"/>
      <c r="D6" s="93"/>
      <c r="E6" s="93"/>
      <c r="F6" s="93"/>
      <c r="G6" s="93"/>
      <c r="H6" s="93"/>
      <c r="I6" s="93"/>
    </row>
    <row r="7" spans="1:9">
      <c r="A7" s="93"/>
      <c r="B7" s="93"/>
      <c r="C7" s="93"/>
      <c r="D7" s="93"/>
      <c r="E7" s="93"/>
      <c r="F7" s="93"/>
      <c r="G7" s="93"/>
      <c r="H7" s="93"/>
      <c r="I7" s="93"/>
    </row>
    <row r="8" spans="1:9">
      <c r="A8" s="93"/>
      <c r="B8" s="93"/>
      <c r="C8" s="93"/>
      <c r="D8" s="93"/>
      <c r="E8" s="93"/>
      <c r="F8" s="93"/>
      <c r="G8" s="93"/>
      <c r="H8" s="93"/>
      <c r="I8" s="93"/>
    </row>
    <row r="9" spans="1:9">
      <c r="A9" s="93"/>
      <c r="B9" s="93"/>
      <c r="C9" s="93"/>
      <c r="D9" s="93"/>
      <c r="E9" s="93"/>
      <c r="F9" s="93"/>
      <c r="G9" s="93"/>
      <c r="H9" s="93"/>
      <c r="I9" s="93"/>
    </row>
    <row r="10" spans="1:9">
      <c r="A10" s="93"/>
      <c r="B10" s="93"/>
      <c r="C10" s="93"/>
      <c r="D10" s="93"/>
      <c r="E10" s="93"/>
      <c r="F10" s="93"/>
      <c r="G10" s="93"/>
      <c r="H10" s="93"/>
      <c r="I10" s="93"/>
    </row>
    <row r="11" spans="1:9">
      <c r="A11" s="93"/>
      <c r="B11" s="93"/>
      <c r="C11" s="93"/>
      <c r="D11" s="93"/>
      <c r="E11" s="93"/>
      <c r="F11" s="93"/>
      <c r="G11" s="93"/>
      <c r="H11" s="93"/>
      <c r="I11" s="93"/>
    </row>
    <row r="12" spans="1:9">
      <c r="A12" s="93"/>
      <c r="B12" s="93"/>
      <c r="C12" s="93"/>
      <c r="D12" s="93"/>
      <c r="E12" s="93"/>
      <c r="F12" s="93"/>
      <c r="G12" s="93"/>
      <c r="H12" s="93"/>
      <c r="I12" s="93"/>
    </row>
    <row r="13" spans="1:9">
      <c r="A13" s="93"/>
      <c r="B13" s="93"/>
      <c r="C13" s="93"/>
      <c r="D13" s="93"/>
      <c r="E13" s="93"/>
      <c r="F13" s="93"/>
      <c r="G13" s="93"/>
      <c r="H13" s="93"/>
      <c r="I13" s="93"/>
    </row>
    <row r="14" spans="1:9">
      <c r="A14" s="93"/>
      <c r="B14" s="93"/>
      <c r="C14" s="93"/>
      <c r="D14" s="93"/>
      <c r="E14" s="93"/>
      <c r="F14" s="93"/>
      <c r="G14" s="93"/>
      <c r="H14" s="93"/>
      <c r="I14" s="93"/>
    </row>
    <row r="15" spans="1:9">
      <c r="A15" s="93"/>
      <c r="B15" s="93"/>
      <c r="C15" s="93"/>
      <c r="D15" s="93"/>
      <c r="E15" s="93"/>
      <c r="F15" s="93"/>
      <c r="G15" s="93"/>
      <c r="H15" s="93"/>
      <c r="I15" s="93"/>
    </row>
    <row r="16" spans="1:9">
      <c r="A16" s="93"/>
      <c r="B16" s="93"/>
      <c r="C16" s="93"/>
      <c r="D16" s="93"/>
      <c r="E16" s="93"/>
      <c r="F16" s="93"/>
      <c r="G16" s="93"/>
      <c r="H16" s="93"/>
      <c r="I16" s="93"/>
    </row>
    <row r="17" spans="1:9">
      <c r="A17" s="93"/>
      <c r="B17" s="93"/>
      <c r="C17" s="93"/>
      <c r="D17" s="93"/>
      <c r="E17" s="93"/>
      <c r="F17" s="93"/>
      <c r="G17" s="93"/>
      <c r="H17" s="93"/>
      <c r="I17" s="93"/>
    </row>
    <row r="18" spans="1:9">
      <c r="A18" s="93"/>
      <c r="B18" s="93"/>
      <c r="C18" s="93"/>
      <c r="D18" s="93"/>
      <c r="E18" s="93"/>
      <c r="F18" s="93"/>
      <c r="G18" s="93"/>
      <c r="H18" s="93"/>
      <c r="I18" s="93"/>
    </row>
    <row r="19" spans="1:9">
      <c r="A19" s="93"/>
      <c r="B19" s="93"/>
      <c r="C19" s="93"/>
      <c r="D19" s="93"/>
      <c r="E19" s="93"/>
      <c r="F19" s="93"/>
      <c r="G19" s="93"/>
      <c r="H19" s="93"/>
      <c r="I19" s="93"/>
    </row>
    <row r="20" spans="1:9">
      <c r="A20" s="93"/>
      <c r="B20" s="93"/>
      <c r="C20" s="93"/>
      <c r="D20" s="93"/>
      <c r="E20" s="93"/>
      <c r="F20" s="93"/>
      <c r="G20" s="93"/>
      <c r="H20" s="93"/>
      <c r="I20" s="93"/>
    </row>
    <row r="21" spans="1:9">
      <c r="A21" s="93"/>
      <c r="B21" s="93"/>
      <c r="C21" s="93"/>
      <c r="D21" s="93"/>
      <c r="E21" s="93"/>
      <c r="F21" s="93"/>
      <c r="G21" s="93"/>
      <c r="H21" s="93"/>
      <c r="I21" s="93"/>
    </row>
    <row r="22" spans="1:9">
      <c r="A22" s="93"/>
      <c r="B22" s="93"/>
      <c r="C22" s="93"/>
      <c r="D22" s="93"/>
      <c r="E22" s="93"/>
      <c r="F22" s="93"/>
      <c r="G22" s="93"/>
      <c r="H22" s="93"/>
      <c r="I22" s="93"/>
    </row>
    <row r="23" spans="1:9">
      <c r="A23" s="93"/>
      <c r="B23" s="93" t="s">
        <v>502</v>
      </c>
      <c r="C23" s="93"/>
      <c r="D23" s="93"/>
      <c r="E23" s="93"/>
      <c r="F23" s="93"/>
      <c r="G23" s="93"/>
      <c r="H23" s="93"/>
      <c r="I23" s="93"/>
    </row>
    <row r="24" spans="1:9">
      <c r="A24" s="93"/>
      <c r="B24" s="93"/>
      <c r="C24" s="93"/>
      <c r="D24" s="93"/>
      <c r="E24" s="93"/>
      <c r="F24" s="93"/>
      <c r="G24" s="93"/>
      <c r="H24" s="93"/>
      <c r="I24" s="93"/>
    </row>
    <row r="25" spans="1:9">
      <c r="A25" s="93"/>
      <c r="B25" s="93"/>
      <c r="C25" s="93"/>
      <c r="D25" s="93"/>
      <c r="E25" s="93"/>
      <c r="F25" s="93"/>
      <c r="G25" s="93"/>
      <c r="H25" s="93"/>
      <c r="I25" s="93"/>
    </row>
    <row r="26" spans="1:9">
      <c r="A26" s="93"/>
      <c r="B26" s="93"/>
      <c r="C26" s="93"/>
      <c r="D26" s="93"/>
      <c r="E26" s="93"/>
      <c r="F26" s="93"/>
      <c r="G26" s="93"/>
      <c r="H26" s="93"/>
      <c r="I26" s="93"/>
    </row>
  </sheetData>
  <phoneticPr fontId="4"/>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pane xSplit="1" ySplit="1" topLeftCell="B2" activePane="bottomRight" state="frozen"/>
      <selection pane="topRight" activeCell="B1" sqref="B1"/>
      <selection pane="bottomLeft" activeCell="A2" sqref="A2"/>
      <selection pane="bottomRight"/>
    </sheetView>
  </sheetViews>
  <sheetFormatPr baseColWidth="12" defaultRowHeight="18" x14ac:dyDescent="0"/>
  <sheetData>
    <row r="1" spans="1:11" s="129" customFormat="1" ht="36">
      <c r="A1" s="122" t="s">
        <v>7</v>
      </c>
      <c r="B1" s="127" t="s">
        <v>10</v>
      </c>
      <c r="C1" s="127" t="s">
        <v>8</v>
      </c>
      <c r="D1" s="128" t="s">
        <v>21</v>
      </c>
      <c r="E1" s="128" t="s">
        <v>23</v>
      </c>
      <c r="F1" s="127" t="s">
        <v>633</v>
      </c>
      <c r="G1" s="127" t="s">
        <v>11</v>
      </c>
      <c r="H1" s="127" t="s">
        <v>9</v>
      </c>
      <c r="I1" s="128" t="s">
        <v>22</v>
      </c>
      <c r="J1" s="128" t="s">
        <v>24</v>
      </c>
      <c r="K1" s="127" t="s">
        <v>13</v>
      </c>
    </row>
    <row r="2" spans="1:11">
      <c r="A2" s="2">
        <v>1970</v>
      </c>
      <c r="B2" s="3">
        <f>'NFA in dollar'!D2/1000</f>
        <v>1.49</v>
      </c>
      <c r="C2" s="3">
        <f>'NFA in dollar'!B2/1000</f>
        <v>3.9840521053979089E-2</v>
      </c>
      <c r="D2" s="3">
        <f>'NFA in dollar'!O2/1000</f>
        <v>0.15815947894602089</v>
      </c>
      <c r="E2" s="3">
        <f>'NFA in dollar'!Q2/1000</f>
        <v>23.404735043744555</v>
      </c>
      <c r="F2" s="3">
        <v>4.8395299998517602</v>
      </c>
      <c r="G2" s="3">
        <f>'NFA in dollar'!E2/1000</f>
        <v>1.1259999999999999</v>
      </c>
      <c r="H2" s="3">
        <f>'NFA in dollar'!C2/1000</f>
        <v>1.3617284803491281</v>
      </c>
      <c r="I2" s="3"/>
      <c r="J2" s="3"/>
      <c r="K2" s="3">
        <f>'NFA in dollar'!G2/1000</f>
        <v>14.764978488378855</v>
      </c>
    </row>
    <row r="3" spans="1:11">
      <c r="A3" s="2">
        <v>1971</v>
      </c>
      <c r="B3" s="3">
        <f>'NFA in dollar'!D3/1000</f>
        <v>1.851</v>
      </c>
      <c r="C3" s="3">
        <f>'NFA in dollar'!B3/1000</f>
        <v>0.12490010053782262</v>
      </c>
      <c r="D3" s="3">
        <f>'NFA in dollar'!O3/1000</f>
        <v>0.22309989946217737</v>
      </c>
      <c r="E3" s="3">
        <f>'NFA in dollar'!Q3/1000</f>
        <v>23.942288553856002</v>
      </c>
      <c r="F3" s="3">
        <v>15.3601824448172</v>
      </c>
      <c r="G3" s="3">
        <f>'NFA in dollar'!E3/1000</f>
        <v>1.337</v>
      </c>
      <c r="H3" s="3">
        <f>'NFA in dollar'!C3/1000</f>
        <v>2.5808370484409697</v>
      </c>
      <c r="I3" s="3"/>
      <c r="J3" s="3"/>
      <c r="K3" s="3">
        <f>'NFA in dollar'!G3/1000</f>
        <v>18.928460990828011</v>
      </c>
    </row>
    <row r="4" spans="1:11">
      <c r="A4" s="2">
        <v>1972</v>
      </c>
      <c r="B4" s="3">
        <f>'NFA in dollar'!D4/1000</f>
        <v>2.5739999999999998</v>
      </c>
      <c r="C4" s="3">
        <f>'NFA in dollar'!B4/1000</f>
        <v>0.37947635887939368</v>
      </c>
      <c r="D4" s="3">
        <f>'NFA in dollar'!O4/1000</f>
        <v>1.5705236411206063</v>
      </c>
      <c r="E4" s="3">
        <f>'NFA in dollar'!Q4/1000</f>
        <v>30.616258299656607</v>
      </c>
      <c r="F4" s="3">
        <v>18.365950156175497</v>
      </c>
      <c r="G4" s="3">
        <f>'NFA in dollar'!E4/1000</f>
        <v>1.645</v>
      </c>
      <c r="H4" s="3">
        <f>'NFA in dollar'!C4/1000</f>
        <v>6.3565004766020134</v>
      </c>
      <c r="I4" s="3"/>
      <c r="J4" s="3"/>
      <c r="K4" s="3">
        <f>'NFA in dollar'!G4/1000</f>
        <v>21.574109912970155</v>
      </c>
    </row>
    <row r="5" spans="1:11">
      <c r="A5" s="2">
        <v>1973</v>
      </c>
      <c r="B5" s="3">
        <f>'NFA in dollar'!D5/1000</f>
        <v>4.5460000000000003</v>
      </c>
      <c r="C5" s="3">
        <f>'NFA in dollar'!B5/1000</f>
        <v>0.79390005503850913</v>
      </c>
      <c r="D5" s="3">
        <f>'NFA in dollar'!O5/1000</f>
        <v>3.104099944961491</v>
      </c>
      <c r="E5" s="3">
        <f>'NFA in dollar'!Q5/1000</f>
        <v>30.644468104851963</v>
      </c>
      <c r="F5" s="3">
        <v>12.246050288569</v>
      </c>
      <c r="G5" s="3">
        <f>'NFA in dollar'!E5/1000</f>
        <v>1.6020000000000001</v>
      </c>
      <c r="H5" s="3">
        <f>'NFA in dollar'!C5/1000</f>
        <v>4.5260004349881218</v>
      </c>
      <c r="I5" s="3"/>
      <c r="J5" s="3"/>
      <c r="K5" s="3">
        <f>'NFA in dollar'!G5/1000</f>
        <v>28.207752944889123</v>
      </c>
    </row>
    <row r="6" spans="1:11">
      <c r="A6" s="2">
        <v>1974</v>
      </c>
      <c r="B6" s="3">
        <f>'NFA in dollar'!D6/1000</f>
        <v>6.5590000000000002</v>
      </c>
      <c r="C6" s="3">
        <f>'NFA in dollar'!B6/1000</f>
        <v>0.57475727045062586</v>
      </c>
      <c r="D6" s="3">
        <f>'NFA in dollar'!O6/1000</f>
        <v>3.5082427295493743</v>
      </c>
      <c r="E6" s="3">
        <f>'NFA in dollar'!Q6/1000</f>
        <v>14.990377038530649</v>
      </c>
      <c r="F6" s="3">
        <v>13.5188853294237</v>
      </c>
      <c r="G6" s="3">
        <f>'NFA in dollar'!E6/1000</f>
        <v>1.867</v>
      </c>
      <c r="H6" s="3">
        <f>'NFA in dollar'!C6/1000</f>
        <v>2.7653551483249097</v>
      </c>
      <c r="I6" s="3"/>
      <c r="J6" s="3"/>
      <c r="K6" s="3">
        <f>'NFA in dollar'!G6/1000</f>
        <v>42.069485316282467</v>
      </c>
    </row>
    <row r="7" spans="1:11">
      <c r="A7" s="2">
        <v>1975</v>
      </c>
      <c r="B7" s="3">
        <f>'NFA in dollar'!D7/1000</f>
        <v>8.3219999999999992</v>
      </c>
      <c r="C7" s="3">
        <f>'NFA in dollar'!B7/1000</f>
        <v>0.76113334908884811</v>
      </c>
      <c r="D7" s="3">
        <f>'NFA in dollar'!O7/1000</f>
        <v>3.3428666509111515</v>
      </c>
      <c r="E7" s="3">
        <f>'NFA in dollar'!Q7/1000</f>
        <v>35.738688759712801</v>
      </c>
      <c r="F7" s="3">
        <v>12.8151429970065</v>
      </c>
      <c r="G7" s="3">
        <f>'NFA in dollar'!E7/1000</f>
        <v>2.0840000000000001</v>
      </c>
      <c r="H7" s="3">
        <f>'NFA in dollar'!C7/1000</f>
        <v>3.8370564854204585</v>
      </c>
      <c r="I7" s="3"/>
      <c r="J7" s="3"/>
      <c r="K7" s="3">
        <f>'NFA in dollar'!G7/1000</f>
        <v>45.076543500342076</v>
      </c>
    </row>
    <row r="8" spans="1:11">
      <c r="A8" s="2">
        <v>1976</v>
      </c>
      <c r="B8" s="3">
        <f>'NFA in dollar'!D8/1000</f>
        <v>10.313000000000001</v>
      </c>
      <c r="C8" s="3">
        <f>'NFA in dollar'!B8/1000</f>
        <v>0.81668984393180077</v>
      </c>
      <c r="D8" s="3">
        <f>'NFA in dollar'!O8/1000</f>
        <v>3.3413101560681993</v>
      </c>
      <c r="E8" s="3">
        <f>'NFA in dollar'!Q8/1000</f>
        <v>41.937793451391634</v>
      </c>
      <c r="F8" s="3">
        <v>16.604657118179198</v>
      </c>
      <c r="G8" s="3">
        <f>'NFA in dollar'!E8/1000</f>
        <v>2.2080000000000002</v>
      </c>
      <c r="H8" s="3">
        <f>'NFA in dollar'!C8/1000</f>
        <v>4.5922196213514086</v>
      </c>
      <c r="I8" s="3"/>
      <c r="J8" s="3"/>
      <c r="K8" s="3">
        <f>'NFA in dollar'!G8/1000</f>
        <v>51.253747431032714</v>
      </c>
    </row>
    <row r="9" spans="1:11">
      <c r="A9" s="2">
        <v>1977</v>
      </c>
      <c r="B9" s="3">
        <f>'NFA in dollar'!D9/1000</f>
        <v>11.958</v>
      </c>
      <c r="C9" s="3">
        <f>'NFA in dollar'!B9/1000</f>
        <v>0.78797602802576294</v>
      </c>
      <c r="D9" s="3">
        <f>'NFA in dollar'!O9/1000</f>
        <v>4.8070239719742371</v>
      </c>
      <c r="E9" s="3">
        <f>'NFA in dollar'!Q9/1000</f>
        <v>48.982408693231186</v>
      </c>
      <c r="F9" s="3">
        <v>23.2602671428848</v>
      </c>
      <c r="G9" s="3">
        <f>'NFA in dollar'!E9/1000</f>
        <v>2.2290000000000001</v>
      </c>
      <c r="H9" s="3">
        <f>'NFA in dollar'!C9/1000</f>
        <v>4.355915822475013</v>
      </c>
      <c r="I9" s="3"/>
      <c r="J9" s="3"/>
      <c r="K9" s="3">
        <f>'NFA in dollar'!G9/1000</f>
        <v>51.13389779274587</v>
      </c>
    </row>
    <row r="10" spans="1:11">
      <c r="A10" s="2">
        <v>1978</v>
      </c>
      <c r="B10" s="3">
        <f>'NFA in dollar'!D10/1000</f>
        <v>14.329000000000001</v>
      </c>
      <c r="C10" s="3">
        <f>'NFA in dollar'!B10/1000</f>
        <v>0.95509853168469605</v>
      </c>
      <c r="D10" s="3">
        <f>'NFA in dollar'!O10/1000</f>
        <v>11.248901468315303</v>
      </c>
      <c r="E10" s="3">
        <f>'NFA in dollar'!Q10/1000</f>
        <v>72.243743893899378</v>
      </c>
      <c r="F10" s="3">
        <v>33.500273178558999</v>
      </c>
      <c r="G10" s="3">
        <f>'NFA in dollar'!E10/1000</f>
        <v>2.8410000000000002</v>
      </c>
      <c r="H10" s="3">
        <f>'NFA in dollar'!C10/1000</f>
        <v>5.5966709671861752</v>
      </c>
      <c r="I10" s="3"/>
      <c r="J10" s="3"/>
      <c r="K10" s="3">
        <f>'NFA in dollar'!G10/1000</f>
        <v>73.55377889809256</v>
      </c>
    </row>
    <row r="11" spans="1:11">
      <c r="A11" s="2">
        <v>1979</v>
      </c>
      <c r="B11" s="3">
        <f>'NFA in dollar'!D11/1000</f>
        <v>17.227</v>
      </c>
      <c r="C11" s="3">
        <f>'NFA in dollar'!B11/1000</f>
        <v>1.6370807161741789</v>
      </c>
      <c r="D11" s="3">
        <f>'NFA in dollar'!O11/1000</f>
        <v>17.365919283825821</v>
      </c>
      <c r="E11" s="3">
        <f>'NFA in dollar'!Q11/1000</f>
        <v>77.682751056703424</v>
      </c>
      <c r="F11" s="3">
        <v>20.638587188056199</v>
      </c>
      <c r="G11" s="3">
        <f>'NFA in dollar'!E11/1000</f>
        <v>3.4220000000000002</v>
      </c>
      <c r="H11" s="3">
        <f>'NFA in dollar'!C11/1000</f>
        <v>5.1446552391577445</v>
      </c>
      <c r="I11" s="3"/>
      <c r="J11" s="3"/>
      <c r="K11" s="3">
        <f>'NFA in dollar'!G11/1000</f>
        <v>97.333823306885535</v>
      </c>
    </row>
    <row r="12" spans="1:11">
      <c r="A12" s="2">
        <v>1980</v>
      </c>
      <c r="B12" s="3">
        <f>'NFA in dollar'!D12/1000</f>
        <v>19.610001</v>
      </c>
      <c r="C12" s="3">
        <f>'NFA in dollar'!B12/1000</f>
        <v>1.7550115459099367</v>
      </c>
      <c r="D12" s="3">
        <f>'NFA in dollar'!O12/1000</f>
        <v>19.684988454090064</v>
      </c>
      <c r="E12" s="3">
        <f>'NFA in dollar'!Q12/1000</f>
        <v>92.88</v>
      </c>
      <c r="F12" s="3">
        <v>25.7179752732842</v>
      </c>
      <c r="G12" s="3">
        <f>'NFA in dollar'!E12/1000</f>
        <v>3.27</v>
      </c>
      <c r="H12" s="3">
        <f>'NFA in dollar'!C12/1000</f>
        <v>14.18</v>
      </c>
      <c r="I12" s="3">
        <f>'NFA in dollar'!P12/1000</f>
        <v>28.37</v>
      </c>
      <c r="J12" s="3">
        <f>'NFA in dollar'!R12/1000</f>
        <v>101.31</v>
      </c>
      <c r="K12" s="3">
        <f>'NFA in dollar'!G12/1000</f>
        <v>129.68</v>
      </c>
    </row>
    <row r="13" spans="1:11">
      <c r="A13" s="2">
        <v>1981</v>
      </c>
      <c r="B13" s="3">
        <f>'NFA in dollar'!D13/1000</f>
        <v>24.51</v>
      </c>
      <c r="C13" s="3">
        <f>'NFA in dollar'!B13/1000</f>
        <v>1.7556379739133128</v>
      </c>
      <c r="D13" s="3">
        <f>'NFA in dollar'!O13/1000</f>
        <v>29.78436202608669</v>
      </c>
      <c r="E13" s="3">
        <f>'NFA in dollar'!Q13/1000</f>
        <v>124.86</v>
      </c>
      <c r="F13" s="3">
        <v>29.1954314290852</v>
      </c>
      <c r="G13" s="3">
        <f>'NFA in dollar'!E13/1000</f>
        <v>3.9200001000000002</v>
      </c>
      <c r="H13" s="3">
        <f>'NFA in dollar'!C13/1000</f>
        <v>27.77</v>
      </c>
      <c r="I13" s="3">
        <f>'NFA in dollar'!P13/1000</f>
        <v>40.5</v>
      </c>
      <c r="J13" s="3">
        <f>'NFA in dollar'!R13/1000</f>
        <v>125.11</v>
      </c>
      <c r="K13" s="3">
        <f>'NFA in dollar'!G13/1000</f>
        <v>165.61</v>
      </c>
    </row>
    <row r="14" spans="1:11">
      <c r="A14" s="2">
        <v>1982</v>
      </c>
      <c r="B14" s="3">
        <f>'NFA in dollar'!D14/1000</f>
        <v>28.969999000000001</v>
      </c>
      <c r="C14" s="3">
        <f>'NFA in dollar'!B14/1000</f>
        <v>2.0494478250582788</v>
      </c>
      <c r="D14" s="3">
        <f>'NFA in dollar'!O14/1000</f>
        <v>38.020552174941727</v>
      </c>
      <c r="E14" s="3">
        <f>'NFA in dollar'!Q14/1000</f>
        <v>135.29</v>
      </c>
      <c r="F14" s="3">
        <v>24.269382260902599</v>
      </c>
      <c r="G14" s="3">
        <f>'NFA in dollar'!E14/1000</f>
        <v>4</v>
      </c>
      <c r="H14" s="3">
        <f>'NFA in dollar'!C14/1000</f>
        <v>29.809999000000001</v>
      </c>
      <c r="I14" s="3">
        <f>'NFA in dollar'!P14/1000</f>
        <v>44.1</v>
      </c>
      <c r="J14" s="3">
        <f>'NFA in dollar'!R14/1000</f>
        <v>124.12</v>
      </c>
      <c r="K14" s="3">
        <f>'NFA in dollar'!G14/1000</f>
        <v>168.22</v>
      </c>
    </row>
    <row r="15" spans="1:11">
      <c r="A15" s="2">
        <v>1983</v>
      </c>
      <c r="B15" s="3">
        <f>'NFA in dollar'!D15/1000</f>
        <v>32.18</v>
      </c>
      <c r="C15" s="3">
        <f>'NFA in dollar'!B15/1000</f>
        <v>3.0509410439660054</v>
      </c>
      <c r="D15" s="3">
        <f>'NFA in dollar'!O15/1000</f>
        <v>53.069058956033992</v>
      </c>
      <c r="E15" s="3">
        <f>'NFA in dollar'!Q15/1000</f>
        <v>158.1</v>
      </c>
      <c r="F15" s="3">
        <v>25.489366822634203</v>
      </c>
      <c r="G15" s="3">
        <f>'NFA in dollar'!E15/1000</f>
        <v>4.3600000999999997</v>
      </c>
      <c r="H15" s="3">
        <f>'NFA in dollar'!C15/1000</f>
        <v>47.419998</v>
      </c>
      <c r="I15" s="3">
        <f>'NFA in dollar'!P15/1000</f>
        <v>50.06</v>
      </c>
      <c r="J15" s="3">
        <f>'NFA in dollar'!R15/1000</f>
        <v>131.91999999999999</v>
      </c>
      <c r="K15" s="3">
        <f>'NFA in dollar'!G15/1000</f>
        <v>181.98</v>
      </c>
    </row>
    <row r="16" spans="1:11">
      <c r="A16" s="2">
        <v>1984</v>
      </c>
      <c r="B16" s="3">
        <f>'NFA in dollar'!D16/1000</f>
        <v>37.919998</v>
      </c>
      <c r="C16" s="3">
        <f>'NFA in dollar'!B16/1000</f>
        <v>3.103992039779861</v>
      </c>
      <c r="D16" s="3">
        <f>'NFA in dollar'!O16/1000</f>
        <v>84.476007960220144</v>
      </c>
      <c r="E16" s="3">
        <f>'NFA in dollar'!Q16/1000</f>
        <v>188.45</v>
      </c>
      <c r="F16" s="3">
        <v>27.260349884605102</v>
      </c>
      <c r="G16" s="3">
        <f>'NFA in dollar'!E16/1000</f>
        <v>4.46</v>
      </c>
      <c r="H16" s="3">
        <f>'NFA in dollar'!C16/1000</f>
        <v>48.029998999999997</v>
      </c>
      <c r="I16" s="3">
        <f>'NFA in dollar'!P16/1000</f>
        <v>59.64</v>
      </c>
      <c r="J16" s="3">
        <f>'NFA in dollar'!R16/1000</f>
        <v>153.86000000000001</v>
      </c>
      <c r="K16" s="3">
        <f>'NFA in dollar'!G16/1000</f>
        <v>213.5</v>
      </c>
    </row>
    <row r="17" spans="1:11">
      <c r="A17" s="2">
        <v>1985</v>
      </c>
      <c r="B17" s="3">
        <f>'NFA in dollar'!D17/1000</f>
        <v>43.970001000000003</v>
      </c>
      <c r="C17" s="3">
        <f>'NFA in dollar'!B17/1000</f>
        <v>5.3125008501112614</v>
      </c>
      <c r="D17" s="3">
        <f>'NFA in dollar'!O17/1000</f>
        <v>140.43749914988874</v>
      </c>
      <c r="E17" s="3">
        <f>'NFA in dollar'!Q17/1000</f>
        <v>220.33</v>
      </c>
      <c r="F17" s="3">
        <v>27.650090117727</v>
      </c>
      <c r="G17" s="3">
        <f>'NFA in dollar'!E17/1000</f>
        <v>4.7399997999999997</v>
      </c>
      <c r="H17" s="3">
        <f>'NFA in dollar'!C17/1000</f>
        <v>45.950001</v>
      </c>
      <c r="I17" s="3">
        <f>'NFA in dollar'!P17/1000</f>
        <v>71.86</v>
      </c>
      <c r="J17" s="3">
        <f>'NFA in dollar'!R17/1000</f>
        <v>184.35</v>
      </c>
      <c r="K17" s="3">
        <f>'NFA in dollar'!G17/1000</f>
        <v>256.20999999999998</v>
      </c>
    </row>
    <row r="18" spans="1:11">
      <c r="A18" s="2">
        <v>1986</v>
      </c>
      <c r="B18" s="3">
        <f>'NFA in dollar'!D18/1000</f>
        <v>58.07</v>
      </c>
      <c r="C18" s="3">
        <f>'NFA in dollar'!B18/1000</f>
        <v>13.470538412003847</v>
      </c>
      <c r="D18" s="3">
        <f>'NFA in dollar'!O18/1000</f>
        <v>244.45946158799617</v>
      </c>
      <c r="E18" s="3">
        <f>'NFA in dollar'!Q18/1000</f>
        <v>368.02</v>
      </c>
      <c r="F18" s="3">
        <v>43.293842230697599</v>
      </c>
      <c r="G18" s="3">
        <f>'NFA in dollar'!E18/1000</f>
        <v>6.5100002000000003</v>
      </c>
      <c r="H18" s="3">
        <f>'NFA in dollar'!C18/1000</f>
        <v>78.690002000000007</v>
      </c>
      <c r="I18" s="3">
        <f>'NFA in dollar'!P18/1000</f>
        <v>107.35</v>
      </c>
      <c r="J18" s="3">
        <f>'NFA in dollar'!R18/1000</f>
        <v>353.32</v>
      </c>
      <c r="K18" s="3">
        <f>'NFA in dollar'!G18/1000</f>
        <v>460.67</v>
      </c>
    </row>
    <row r="19" spans="1:11">
      <c r="A19" s="2">
        <v>1987</v>
      </c>
      <c r="B19" s="3">
        <f>'NFA in dollar'!D19/1000</f>
        <v>77.019997000000004</v>
      </c>
      <c r="C19" s="3">
        <f>'NFA in dollar'!B19/1000</f>
        <v>27.568495196203553</v>
      </c>
      <c r="D19" s="3">
        <f>'NFA in dollar'!O19/1000</f>
        <v>326.9815048037965</v>
      </c>
      <c r="E19" s="3">
        <f>'NFA in dollar'!Q19/1000</f>
        <v>557.88</v>
      </c>
      <c r="F19" s="3">
        <v>82.175870456562905</v>
      </c>
      <c r="G19" s="3">
        <f>'NFA in dollar'!E19/1000</f>
        <v>9.0200005000000001</v>
      </c>
      <c r="H19" s="3">
        <f>'NFA in dollar'!C19/1000</f>
        <v>66.300003000000004</v>
      </c>
      <c r="I19" s="3">
        <f>'NFA in dollar'!P19/1000</f>
        <v>163.16</v>
      </c>
      <c r="J19" s="3">
        <f>'NFA in dollar'!R19/1000</f>
        <v>591.15</v>
      </c>
      <c r="K19" s="3">
        <f>'NFA in dollar'!G19/1000</f>
        <v>754.31</v>
      </c>
    </row>
    <row r="20" spans="1:11">
      <c r="A20" s="2">
        <v>1988</v>
      </c>
      <c r="B20" s="3">
        <f>'NFA in dollar'!D20/1000</f>
        <v>110.78</v>
      </c>
      <c r="C20" s="3">
        <f>'NFA in dollar'!B20/1000</f>
        <v>33.930315181308146</v>
      </c>
      <c r="D20" s="3">
        <f>'NFA in dollar'!O20/1000</f>
        <v>415.37968481869189</v>
      </c>
      <c r="E20" s="3">
        <f>'NFA in dollar'!Q20/1000</f>
        <v>811.39</v>
      </c>
      <c r="F20" s="3">
        <v>97.869313551458802</v>
      </c>
      <c r="G20" s="3">
        <f>'NFA in dollar'!E20/1000</f>
        <v>10.42</v>
      </c>
      <c r="H20" s="3">
        <f>'NFA in dollar'!C20/1000</f>
        <v>113.52</v>
      </c>
      <c r="I20" s="3">
        <f>'NFA in dollar'!P20/1000</f>
        <v>204.21</v>
      </c>
      <c r="J20" s="3">
        <f>'NFA in dollar'!R20/1000</f>
        <v>848.26</v>
      </c>
      <c r="K20" s="3">
        <f>'NFA in dollar'!G20/1000</f>
        <v>1052.47</v>
      </c>
    </row>
    <row r="21" spans="1:11">
      <c r="A21" s="2">
        <v>1989</v>
      </c>
      <c r="B21" s="3">
        <f>'NFA in dollar'!D21/1000</f>
        <v>154.37</v>
      </c>
      <c r="C21" s="3">
        <f>'NFA in dollar'!B21/1000</f>
        <v>61.566870866827884</v>
      </c>
      <c r="D21" s="3">
        <f>'NFA in dollar'!O21/1000</f>
        <v>500.28312913317211</v>
      </c>
      <c r="E21" s="3">
        <f>'NFA in dollar'!Q21/1000</f>
        <v>969.72</v>
      </c>
      <c r="F21" s="3">
        <v>85.071731255682508</v>
      </c>
      <c r="G21" s="3">
        <f>'NFA in dollar'!E21/1000</f>
        <v>9.1599997999999996</v>
      </c>
      <c r="H21" s="3">
        <f>'NFA in dollar'!C21/1000</f>
        <v>162.08000000000001</v>
      </c>
      <c r="I21" s="3">
        <f>'NFA in dollar'!P21/1000</f>
        <v>269.8</v>
      </c>
      <c r="J21" s="3">
        <f>'NFA in dollar'!R21/1000</f>
        <v>1035.58</v>
      </c>
      <c r="K21" s="3">
        <f>'NFA in dollar'!G21/1000</f>
        <v>1305.3800000000001</v>
      </c>
    </row>
    <row r="22" spans="1:11">
      <c r="A22" s="2">
        <v>1990</v>
      </c>
      <c r="B22" s="3">
        <f>'NFA in dollar'!D22/1000</f>
        <v>201.44</v>
      </c>
      <c r="C22" s="3">
        <f>'NFA in dollar'!B22/1000</f>
        <v>62.960954996541062</v>
      </c>
      <c r="D22" s="3">
        <f>'NFA in dollar'!O22/1000</f>
        <v>532.87904500345894</v>
      </c>
      <c r="E22" s="3">
        <f>'NFA in dollar'!Q22/1000</f>
        <v>980.89</v>
      </c>
      <c r="F22" s="3">
        <v>79.706976640071304</v>
      </c>
      <c r="G22" s="3">
        <f>'NFA in dollar'!E22/1000</f>
        <v>9.8500004000000008</v>
      </c>
      <c r="H22" s="3">
        <f>'NFA in dollar'!C22/1000</f>
        <v>90.379997000000003</v>
      </c>
      <c r="I22" s="3">
        <f>'NFA in dollar'!P22/1000</f>
        <v>305.58999999999997</v>
      </c>
      <c r="J22" s="3">
        <f>'NFA in dollar'!R22/1000</f>
        <v>1122.7</v>
      </c>
      <c r="K22" s="3">
        <f>'NFA in dollar'!G22/1000</f>
        <v>1428.29</v>
      </c>
    </row>
    <row r="23" spans="1:11">
      <c r="A23" s="2">
        <v>1991</v>
      </c>
      <c r="B23" s="3">
        <f>'NFA in dollar'!D23/1000</f>
        <v>231.78998999999999</v>
      </c>
      <c r="C23" s="3">
        <f>'NFA in dollar'!B23/1000</f>
        <v>79.709222748837462</v>
      </c>
      <c r="D23" s="3">
        <f>'NFA in dollar'!O23/1000</f>
        <v>599.47077725116253</v>
      </c>
      <c r="E23" s="3">
        <f>'NFA in dollar'!Q23/1000</f>
        <v>1022.27</v>
      </c>
      <c r="F23" s="3">
        <v>73.271816193442703</v>
      </c>
      <c r="G23" s="3">
        <f>'NFA in dollar'!E23/1000</f>
        <v>12.29</v>
      </c>
      <c r="H23" s="3">
        <f>'NFA in dollar'!C23/1000</f>
        <v>141.78</v>
      </c>
      <c r="I23" s="3">
        <f>'NFA in dollar'!P23/1000</f>
        <v>385.91</v>
      </c>
      <c r="J23" s="3">
        <f>'NFA in dollar'!R23/1000</f>
        <v>1082.19</v>
      </c>
      <c r="K23" s="3">
        <f>'NFA in dollar'!G23/1000</f>
        <v>1468.1</v>
      </c>
    </row>
    <row r="24" spans="1:11">
      <c r="A24" s="2">
        <v>1992</v>
      </c>
      <c r="B24" s="3">
        <f>'NFA in dollar'!D24/1000</f>
        <v>248.06</v>
      </c>
      <c r="C24" s="3">
        <f>'NFA in dollar'!B24/1000</f>
        <v>76.450517708479509</v>
      </c>
      <c r="D24" s="3">
        <f>'NFA in dollar'!O24/1000</f>
        <v>638.99948229152051</v>
      </c>
      <c r="E24" s="3">
        <f>'NFA in dollar'!Q24/1000</f>
        <v>998.94</v>
      </c>
      <c r="F24" s="3">
        <v>72.7886415747424</v>
      </c>
      <c r="G24" s="3">
        <f>'NFA in dollar'!E24/1000</f>
        <v>15.51</v>
      </c>
      <c r="H24" s="3">
        <f>'NFA in dollar'!C24/1000</f>
        <v>124.59</v>
      </c>
      <c r="I24" s="3">
        <f>'NFA in dollar'!P24/1000</f>
        <v>388.51</v>
      </c>
      <c r="J24" s="3">
        <f>'NFA in dollar'!R24/1000</f>
        <v>991.78</v>
      </c>
      <c r="K24" s="3">
        <f>'NFA in dollar'!G24/1000</f>
        <v>1380.29</v>
      </c>
    </row>
    <row r="25" spans="1:11">
      <c r="A25" s="2">
        <v>1993</v>
      </c>
      <c r="B25" s="3">
        <f>'NFA in dollar'!D25/1000</f>
        <v>259.79998999999998</v>
      </c>
      <c r="C25" s="3">
        <f>'NFA in dollar'!B25/1000</f>
        <v>108.61873149666886</v>
      </c>
      <c r="D25" s="3">
        <f>'NFA in dollar'!O25/1000</f>
        <v>662.49126850333107</v>
      </c>
      <c r="E25" s="3">
        <f>'NFA in dollar'!Q25/1000</f>
        <v>1050.29</v>
      </c>
      <c r="F25" s="3">
        <v>99.689092649871398</v>
      </c>
      <c r="G25" s="3">
        <f>'NFA in dollar'!E25/1000</f>
        <v>16.889999</v>
      </c>
      <c r="H25" s="3">
        <f>'NFA in dollar'!C25/1000</f>
        <v>171.17</v>
      </c>
      <c r="I25" s="3">
        <f>'NFA in dollar'!P25/1000</f>
        <v>374.15</v>
      </c>
      <c r="J25" s="3">
        <f>'NFA in dollar'!R25/1000</f>
        <v>1006.63</v>
      </c>
      <c r="K25" s="3">
        <f>'NFA in dollar'!G25/1000</f>
        <v>1380.78</v>
      </c>
    </row>
    <row r="26" spans="1:11">
      <c r="A26" s="2">
        <v>1994</v>
      </c>
      <c r="B26" s="3">
        <f>'NFA in dollar'!D26/1000</f>
        <v>275.56988999999999</v>
      </c>
      <c r="C26" s="3">
        <f>'NFA in dollar'!B26/1000</f>
        <v>119.04910034020396</v>
      </c>
      <c r="D26" s="3">
        <f>'NFA in dollar'!O26/1000</f>
        <v>739.64089965979599</v>
      </c>
      <c r="E26" s="3">
        <f>'NFA in dollar'!Q26/1000</f>
        <v>1162.8699999999999</v>
      </c>
      <c r="F26" s="3">
        <v>127.09813461925499</v>
      </c>
      <c r="G26" s="3">
        <f>'NFA in dollar'!E26/1000</f>
        <v>19.170000000000002</v>
      </c>
      <c r="H26" s="3">
        <f>'NFA in dollar'!C26/1000</f>
        <v>250.88</v>
      </c>
      <c r="I26" s="3">
        <f>'NFA in dollar'!P26/1000</f>
        <v>379.79</v>
      </c>
      <c r="J26" s="3">
        <f>'NFA in dollar'!R26/1000</f>
        <v>1084.08</v>
      </c>
      <c r="K26" s="3">
        <f>'NFA in dollar'!G26/1000</f>
        <v>1463.87</v>
      </c>
    </row>
    <row r="27" spans="1:11">
      <c r="A27" s="2">
        <v>1995</v>
      </c>
      <c r="B27" s="3">
        <f>'NFA in dollar'!D27/1000</f>
        <v>238.45180999999999</v>
      </c>
      <c r="C27" s="3">
        <f>'NFA in dollar'!B27/1000</f>
        <v>146.26</v>
      </c>
      <c r="D27" s="3">
        <f>'NFA in dollar'!O27/1000</f>
        <v>708.81</v>
      </c>
      <c r="E27" s="3">
        <f>'NFA in dollar'!Q27/1000</f>
        <v>1351.31</v>
      </c>
      <c r="F27" s="3">
        <v>184.510290737134</v>
      </c>
      <c r="G27" s="3">
        <f>'NFA in dollar'!E27/1000</f>
        <v>33.509998000000003</v>
      </c>
      <c r="H27" s="3">
        <f>'NFA in dollar'!C27/1000</f>
        <v>306.27999999999997</v>
      </c>
      <c r="I27" s="3">
        <f>'NFA in dollar'!P27/1000</f>
        <v>239.14</v>
      </c>
      <c r="J27" s="3">
        <f>'NFA in dollar'!R27/1000</f>
        <v>1233.48</v>
      </c>
      <c r="K27" s="3">
        <f>'NFA in dollar'!G27/1000</f>
        <v>1472.62</v>
      </c>
    </row>
    <row r="28" spans="1:11">
      <c r="A28" s="2">
        <v>1996</v>
      </c>
      <c r="B28" s="3">
        <f>NFA_in_yen!C4/'NFA in dollar'!T28</f>
        <v>258.61206896551727</v>
      </c>
      <c r="C28" s="3">
        <f>NFA_in_yen!D4/'NFA in dollar'!T28</f>
        <v>155.09482758620689</v>
      </c>
      <c r="D28" s="3">
        <f>NFA_in_yen!E4/'NFA in dollar'!T28</f>
        <v>803.22413793103453</v>
      </c>
      <c r="E28" s="3">
        <f>NFA_in_yen!G4/'NFA in dollar'!T28</f>
        <v>1167</v>
      </c>
      <c r="F28" s="3">
        <f>NFA_in_yen!H4/'NFA in dollar'!T28</f>
        <v>217.60344827586206</v>
      </c>
      <c r="G28" s="3">
        <f>NFA_in_yen!J4/'NFA in dollar'!T28</f>
        <v>29.939655172413794</v>
      </c>
      <c r="H28" s="3">
        <f>NFA_in_yen!K4/'NFA in dollar'!T28</f>
        <v>312.55172413793105</v>
      </c>
      <c r="I28" s="3">
        <f>NFA_in_yen!L4/'NFA in dollar'!T28</f>
        <v>257.07758620689657</v>
      </c>
      <c r="J28" s="3">
        <f>NFA_in_yen!N4/'NFA in dollar'!T28</f>
        <v>1112.1810344827586</v>
      </c>
      <c r="K28" s="3">
        <f>'NFA in dollar'!G28/1000</f>
        <v>1413.29</v>
      </c>
    </row>
    <row r="29" spans="1:11">
      <c r="A29" s="2">
        <v>1997</v>
      </c>
      <c r="B29" s="3">
        <f>NFA_in_yen!C5/'NFA in dollar'!T29</f>
        <v>271.90457868410931</v>
      </c>
      <c r="C29" s="3">
        <f>NFA_in_yen!D5/'NFA in dollar'!T29</f>
        <v>158.79184301654485</v>
      </c>
      <c r="D29" s="3">
        <f>NFA_in_yen!E5/'NFA in dollar'!T29</f>
        <v>778.43786071565989</v>
      </c>
      <c r="E29" s="3">
        <f>NFA_in_yen!G5/'NFA in dollar'!T29</f>
        <v>1232.2508657175838</v>
      </c>
      <c r="F29" s="3">
        <f>NFA_in_yen!H5/'NFA in dollar'!T29</f>
        <v>220.80030781069644</v>
      </c>
      <c r="G29" s="3">
        <f>NFA_in_yen!J5/'NFA in dollar'!T29</f>
        <v>27.079646017699119</v>
      </c>
      <c r="H29" s="3">
        <f>NFA_in_yen!K5/'NFA in dollar'!T29</f>
        <v>277.30665640631014</v>
      </c>
      <c r="I29" s="3">
        <f>NFA_in_yen!L5/'NFA in dollar'!T29</f>
        <v>315.05963832243174</v>
      </c>
      <c r="J29" s="3">
        <f>NFA_in_yen!N5/'NFA in dollar'!T29</f>
        <v>1084.3247402847251</v>
      </c>
      <c r="K29" s="3">
        <f>'NFA in dollar'!G29/1000</f>
        <v>1468.01</v>
      </c>
    </row>
    <row r="30" spans="1:11">
      <c r="A30" s="2">
        <v>1998</v>
      </c>
      <c r="B30" s="3">
        <f>NFA_in_yen!C6/'NFA in dollar'!T30</f>
        <v>270.0346020761246</v>
      </c>
      <c r="C30" s="3">
        <f>NFA_in_yen!D6/'NFA in dollar'!T30</f>
        <v>209.40311418685121</v>
      </c>
      <c r="D30" s="3">
        <f>NFA_in_yen!E6/'NFA in dollar'!T30</f>
        <v>895.44117647058829</v>
      </c>
      <c r="E30" s="3">
        <f>NFA_in_yen!G6/'NFA in dollar'!T30</f>
        <v>1318.2525951557095</v>
      </c>
      <c r="F30" s="3">
        <f>NFA_in_yen!H6/'NFA in dollar'!T30</f>
        <v>215.06920415224914</v>
      </c>
      <c r="G30" s="3">
        <f>NFA_in_yen!J6/'NFA in dollar'!T30</f>
        <v>26.064013840830452</v>
      </c>
      <c r="H30" s="3">
        <f>NFA_in_yen!K6/'NFA in dollar'!T30</f>
        <v>302.01557093425606</v>
      </c>
      <c r="I30" s="3">
        <f>NFA_in_yen!L6/'NFA in dollar'!T30</f>
        <v>358.31314878892738</v>
      </c>
      <c r="J30" s="3">
        <f>NFA_in_yen!N6/'NFA in dollar'!T30</f>
        <v>1069.4809688581315</v>
      </c>
      <c r="K30" s="3">
        <f>'NFA in dollar'!G30/1000</f>
        <v>1497.7478185121108</v>
      </c>
    </row>
    <row r="31" spans="1:11">
      <c r="A31" s="2">
        <v>1999</v>
      </c>
      <c r="B31" s="3">
        <f>NFA_in_yen!C7/'NFA in dollar'!T31</f>
        <v>248.77690802348337</v>
      </c>
      <c r="C31" s="3">
        <f>NFA_in_yen!D7/'NFA in dollar'!T31</f>
        <v>285.42074363992174</v>
      </c>
      <c r="D31" s="3">
        <f>NFA_in_yen!E7/'NFA in dollar'!T31</f>
        <v>1003.1115459882583</v>
      </c>
      <c r="E31" s="3">
        <f>NFA_in_yen!G7/'NFA in dollar'!T31</f>
        <v>1141.3698630136987</v>
      </c>
      <c r="F31" s="3">
        <f>NFA_in_yen!H7/'NFA in dollar'!T31</f>
        <v>287.65166340508807</v>
      </c>
      <c r="G31" s="3">
        <f>NFA_in_yen!J7/'NFA in dollar'!T31</f>
        <v>46.115459882583167</v>
      </c>
      <c r="H31" s="3">
        <f>NFA_in_yen!K7/'NFA in dollar'!T31</f>
        <v>825.96868884540118</v>
      </c>
      <c r="I31" s="3">
        <f>NFA_in_yen!L7/'NFA in dollar'!T31</f>
        <v>332.46575342465752</v>
      </c>
      <c r="J31" s="3">
        <f>NFA_in_yen!N7/'NFA in dollar'!T31</f>
        <v>934.02152641878672</v>
      </c>
      <c r="K31" s="3">
        <f>'NFA in dollar'!G31/1000</f>
        <v>1301.8334637964772</v>
      </c>
    </row>
    <row r="32" spans="1:11">
      <c r="A32" s="2">
        <v>2000</v>
      </c>
      <c r="B32" s="3">
        <f>NFA_in_yen!C8/'NFA in dollar'!T32</f>
        <v>278.44212358572673</v>
      </c>
      <c r="C32" s="3">
        <f>NFA_in_yen!D8/'NFA in dollar'!T32</f>
        <v>262.25413402959094</v>
      </c>
      <c r="D32" s="3">
        <f>NFA_in_yen!E8/'NFA in dollar'!T32</f>
        <v>1044.2297650130547</v>
      </c>
      <c r="E32" s="3">
        <f>NFA_in_yen!G8/'NFA in dollar'!T32</f>
        <v>1020.3568320278503</v>
      </c>
      <c r="F32" s="3">
        <f>NFA_in_yen!H8/'NFA in dollar'!T32</f>
        <v>360.99216710182765</v>
      </c>
      <c r="G32" s="3">
        <f>NFA_in_yen!J8/'NFA in dollar'!T32</f>
        <v>50.322019147084418</v>
      </c>
      <c r="H32" s="3">
        <f>NFA_in_yen!K8/'NFA in dollar'!T32</f>
        <v>550.23498694516968</v>
      </c>
      <c r="I32" s="3">
        <f>NFA_in_yen!L8/'NFA in dollar'!T32</f>
        <v>334.09051348999128</v>
      </c>
      <c r="J32" s="3">
        <f>NFA_in_yen!N8/'NFA in dollar'!T32</f>
        <v>873.82071366405569</v>
      </c>
      <c r="K32" s="3">
        <f>'NFA in dollar'!G32/1000</f>
        <v>1207.9105308964315</v>
      </c>
    </row>
    <row r="33" spans="1:11">
      <c r="A33" s="2">
        <v>2001</v>
      </c>
      <c r="B33" s="3">
        <f>NFA_in_yen!C9/'NFA in dollar'!T33</f>
        <v>300.11380880121391</v>
      </c>
      <c r="C33" s="3">
        <f>NFA_in_yen!D9/'NFA in dollar'!T33</f>
        <v>227.35204855842184</v>
      </c>
      <c r="D33" s="3">
        <f>NFA_in_yen!E9/'NFA in dollar'!T33</f>
        <v>1062.4051593323215</v>
      </c>
      <c r="E33" s="3">
        <f>NFA_in_yen!G9/'NFA in dollar'!T33</f>
        <v>888.23216995447638</v>
      </c>
      <c r="F33" s="3">
        <f>NFA_in_yen!H9/'NFA in dollar'!T33</f>
        <v>400.39453717754168</v>
      </c>
      <c r="G33" s="3">
        <f>NFA_in_yen!J9/'NFA in dollar'!T33</f>
        <v>50.318664643399089</v>
      </c>
      <c r="H33" s="3">
        <f>NFA_in_yen!K9/'NFA in dollar'!T33</f>
        <v>376.04704097116843</v>
      </c>
      <c r="I33" s="3">
        <f>NFA_in_yen!L9/'NFA in dollar'!T33</f>
        <v>289.74962063732926</v>
      </c>
      <c r="J33" s="3">
        <f>NFA_in_yen!N9/'NFA in dollar'!T33</f>
        <v>801.7678300455234</v>
      </c>
      <c r="K33" s="3">
        <f>'NFA in dollar'!G33/1000</f>
        <v>1091.5113808801214</v>
      </c>
    </row>
    <row r="34" spans="1:11">
      <c r="A34" s="2">
        <v>2002</v>
      </c>
      <c r="B34" s="3">
        <f>NFA_in_yen!C10/'NFA in dollar'!T34</f>
        <v>304.23686405337781</v>
      </c>
      <c r="C34" s="3">
        <f>NFA_in_yen!D10/'NFA in dollar'!T34</f>
        <v>210.81734778982485</v>
      </c>
      <c r="D34" s="3">
        <f>NFA_in_yen!E10/'NFA in dollar'!T34</f>
        <v>1183.7030859049207</v>
      </c>
      <c r="E34" s="3">
        <f>NFA_in_yen!G10/'NFA in dollar'!T34</f>
        <v>882.33527939949954</v>
      </c>
      <c r="F34" s="3">
        <f>NFA_in_yen!H10/'NFA in dollar'!T34</f>
        <v>467.581317764804</v>
      </c>
      <c r="G34" s="3">
        <f>NFA_in_yen!J10/'NFA in dollar'!T34</f>
        <v>78.140116763969971</v>
      </c>
      <c r="H34" s="3">
        <f>NFA_in_yen!K10/'NFA in dollar'!T34</f>
        <v>339.92493744787322</v>
      </c>
      <c r="I34" s="3">
        <f>NFA_in_yen!L10/'NFA in dollar'!T34</f>
        <v>270.4920767306088</v>
      </c>
      <c r="J34" s="3">
        <f>NFA_in_yen!N10/'NFA in dollar'!T34</f>
        <v>897.6480400333611</v>
      </c>
      <c r="K34" s="3">
        <f>'NFA in dollar'!G34/1000</f>
        <v>1168.1385329250979</v>
      </c>
    </row>
    <row r="35" spans="1:11">
      <c r="A35" s="2">
        <v>2003</v>
      </c>
      <c r="B35" s="3">
        <f>NFA_in_yen!C11/'NFA in dollar'!T35</f>
        <v>335.499533146592</v>
      </c>
      <c r="C35" s="3">
        <f>NFA_in_yen!D11/'NFA in dollar'!T35</f>
        <v>274.45378151260508</v>
      </c>
      <c r="D35" s="3">
        <f>NFA_in_yen!E11/'NFA in dollar'!T35</f>
        <v>1446.8627450980393</v>
      </c>
      <c r="E35" s="3">
        <f>NFA_in_yen!G11/'NFA in dollar'!T35</f>
        <v>865.03267973856214</v>
      </c>
      <c r="F35" s="3">
        <f>NFA_in_yen!H11/'NFA in dollar'!T35</f>
        <v>673.04388422035481</v>
      </c>
      <c r="G35" s="3">
        <f>NFA_in_yen!J11/'NFA in dollar'!T35</f>
        <v>89.729225023342678</v>
      </c>
      <c r="H35" s="3">
        <f>NFA_in_yen!K11/'NFA in dollar'!T35</f>
        <v>561.01774042950512</v>
      </c>
      <c r="I35" s="3">
        <f>NFA_in_yen!L11/'NFA in dollar'!T35</f>
        <v>306.14379084967322</v>
      </c>
      <c r="J35" s="3">
        <f>NFA_in_yen!N11/'NFA in dollar'!T35</f>
        <v>1022.5023342670402</v>
      </c>
      <c r="K35" s="3">
        <f>'NFA in dollar'!G35/1000</f>
        <v>1328.641923436041</v>
      </c>
    </row>
    <row r="36" spans="1:11">
      <c r="A36" s="2">
        <v>2004</v>
      </c>
      <c r="B36" s="3">
        <f>NFA_in_yen!C12/'NFA in dollar'!T36</f>
        <v>370.54360353438341</v>
      </c>
      <c r="C36" s="3">
        <f>NFA_in_yen!D12/'NFA in dollar'!T36</f>
        <v>364.69458317326161</v>
      </c>
      <c r="D36" s="3">
        <f>NFA_in_yen!E12/'NFA in dollar'!T36</f>
        <v>1644.9769496734536</v>
      </c>
      <c r="E36" s="3">
        <f>NFA_in_yen!G12/'NFA in dollar'!T36</f>
        <v>938.51325393776403</v>
      </c>
      <c r="F36" s="3">
        <f>NFA_in_yen!H12/'NFA in dollar'!T36</f>
        <v>842.48943526699964</v>
      </c>
      <c r="G36" s="3">
        <f>NFA_in_yen!J12/'NFA in dollar'!T36</f>
        <v>96.984248943526694</v>
      </c>
      <c r="H36" s="3">
        <f>NFA_in_yen!K12/'NFA in dollar'!T36</f>
        <v>743.30580099884742</v>
      </c>
      <c r="I36" s="3">
        <f>NFA_in_yen!L12/'NFA in dollar'!T36</f>
        <v>410.0941221667307</v>
      </c>
      <c r="J36" s="3">
        <f>NFA_in_yen!N12/'NFA in dollar'!T36</f>
        <v>1121.3599692662312</v>
      </c>
      <c r="K36" s="3">
        <f>'NFA in dollar'!G36/1000</f>
        <v>1531.448637588368</v>
      </c>
    </row>
    <row r="37" spans="1:11">
      <c r="A37" s="2">
        <v>2005</v>
      </c>
      <c r="B37" s="3">
        <f>NFA_in_yen!C13/'NFA in dollar'!T37</f>
        <v>386.58133423751804</v>
      </c>
      <c r="C37" s="3">
        <f>NFA_in_yen!D13/'NFA in dollar'!T37</f>
        <v>408.5784521488514</v>
      </c>
      <c r="D37" s="3">
        <f>NFA_in_yen!E13/'NFA in dollar'!T37</f>
        <v>1706.3151648724252</v>
      </c>
      <c r="E37" s="3">
        <f>NFA_in_yen!G13/'NFA in dollar'!T37</f>
        <v>920.09833008391968</v>
      </c>
      <c r="F37" s="3">
        <f>NFA_in_yen!H13/'NFA in dollar'!T37</f>
        <v>842.96007459523605</v>
      </c>
      <c r="G37" s="3">
        <f>NFA_in_yen!J13/'NFA in dollar'!T37</f>
        <v>100.89853352547257</v>
      </c>
      <c r="H37" s="3">
        <f>NFA_in_yen!K13/'NFA in dollar'!T37</f>
        <v>1126.0659489700772</v>
      </c>
      <c r="I37" s="3">
        <f>NFA_in_yen!L13/'NFA in dollar'!T37</f>
        <v>416.35161481732644</v>
      </c>
      <c r="J37" s="3">
        <f>NFA_in_yen!N13/'NFA in dollar'!T37</f>
        <v>1082.5548868356361</v>
      </c>
      <c r="K37" s="3">
        <f>'NFA in dollar'!G37/1000</f>
        <v>1498.9053149105705</v>
      </c>
    </row>
    <row r="38" spans="1:11">
      <c r="A38" s="2">
        <v>2006</v>
      </c>
      <c r="B38" s="3">
        <f>NFA_in_yen!C14/'NFA in dollar'!T38</f>
        <v>449.56704497688105</v>
      </c>
      <c r="C38" s="3">
        <f>NFA_in_yen!D14/'NFA in dollar'!T38</f>
        <v>510.41614123581337</v>
      </c>
      <c r="D38" s="3">
        <f>NFA_in_yen!E14/'NFA in dollar'!T38</f>
        <v>1833.0643127364438</v>
      </c>
      <c r="E38" s="3">
        <f>NFA_in_yen!G14/'NFA in dollar'!T38</f>
        <v>981.06767549390497</v>
      </c>
      <c r="F38" s="3">
        <f>NFA_in_yen!H14/'NFA in dollar'!T38</f>
        <v>894.78772593526685</v>
      </c>
      <c r="G38" s="3">
        <f>NFA_in_yen!J14/'NFA in dollar'!T38</f>
        <v>107.63345943673812</v>
      </c>
      <c r="H38" s="3">
        <f>NFA_in_yen!K14/'NFA in dollar'!T38</f>
        <v>1254.9558638083229</v>
      </c>
      <c r="I38" s="3">
        <f>NFA_in_yen!L14/'NFA in dollar'!T38</f>
        <v>507.93610760823873</v>
      </c>
      <c r="J38" s="3">
        <f>NFA_in_yen!N14/'NFA in dollar'!T38</f>
        <v>983.0853299705758</v>
      </c>
      <c r="K38" s="3">
        <f>'NFA in dollar'!G38/1000</f>
        <v>1491.023857697463</v>
      </c>
    </row>
    <row r="39" spans="1:11">
      <c r="A39" s="2">
        <v>2007</v>
      </c>
      <c r="B39" s="3">
        <f>NFA_in_yen!C15/'NFA in dollar'!T39</f>
        <v>542.61403508771934</v>
      </c>
      <c r="C39" s="3">
        <f>NFA_in_yen!D15/'NFA in dollar'!T39</f>
        <v>573.47368421052636</v>
      </c>
      <c r="D39" s="3">
        <f>NFA_in_yen!E15/'NFA in dollar'!T39</f>
        <v>1950.0964912280701</v>
      </c>
      <c r="E39" s="3">
        <f>NFA_in_yen!G15/'NFA in dollar'!T39</f>
        <v>1282.6929824561403</v>
      </c>
      <c r="F39" s="3">
        <f>NFA_in_yen!H15/'NFA in dollar'!T39</f>
        <v>967.35964912280701</v>
      </c>
      <c r="G39" s="3">
        <f>NFA_in_yen!J15/'NFA in dollar'!T39</f>
        <v>132.85087719298247</v>
      </c>
      <c r="H39" s="3">
        <f>NFA_in_yen!K15/'NFA in dollar'!T39</f>
        <v>1245.8859649122808</v>
      </c>
      <c r="I39" s="3">
        <f>NFA_in_yen!L15/'NFA in dollar'!T39</f>
        <v>696.98245614035091</v>
      </c>
      <c r="J39" s="3">
        <f>NFA_in_yen!N15/'NFA in dollar'!T39</f>
        <v>1041</v>
      </c>
      <c r="K39" s="3">
        <f>'NFA in dollar'!G39/1000</f>
        <v>1737.9804924978166</v>
      </c>
    </row>
    <row r="40" spans="1:11">
      <c r="A40" s="2">
        <v>2008</v>
      </c>
      <c r="B40" s="3">
        <f>NFA_in_yen!C16/'NFA in dollar'!T40</f>
        <v>680.33057851239664</v>
      </c>
      <c r="C40" s="3">
        <f>NFA_in_yen!D16/'NFA in dollar'!T40</f>
        <v>394.67768595041321</v>
      </c>
      <c r="D40" s="3">
        <f>NFA_in_yen!E16/'NFA in dollar'!T40</f>
        <v>1981.9834710743801</v>
      </c>
      <c r="E40" s="3">
        <f>NFA_in_yen!G16/'NFA in dollar'!T40</f>
        <v>1562.0055096418732</v>
      </c>
      <c r="F40" s="3">
        <f>NFA_in_yen!H16/'NFA in dollar'!T40</f>
        <v>1024.6060606060605</v>
      </c>
      <c r="G40" s="3">
        <f>NFA_in_yen!J16/'NFA in dollar'!T40</f>
        <v>203.37190082644628</v>
      </c>
      <c r="H40" s="3">
        <f>NFA_in_yen!K16/'NFA in dollar'!T40</f>
        <v>756.19834710743805</v>
      </c>
      <c r="I40" s="3">
        <f>NFA_in_yen!L16/'NFA in dollar'!T40</f>
        <v>785.47658402203854</v>
      </c>
      <c r="J40" s="3">
        <f>NFA_in_yen!N16/'NFA in dollar'!T40</f>
        <v>1401.0578512396694</v>
      </c>
      <c r="K40" s="3">
        <f>'NFA in dollar'!G40/1000</f>
        <v>2186.5402347107461</v>
      </c>
    </row>
    <row r="41" spans="1:11">
      <c r="A41" s="2">
        <v>2009</v>
      </c>
      <c r="B41" s="3">
        <f>NFA_in_yen!C17/'NFA in dollar'!T41</f>
        <v>740.92982837280033</v>
      </c>
      <c r="C41" s="3">
        <f>NFA_in_yen!D17/'NFA in dollar'!T41</f>
        <v>594.03649793612863</v>
      </c>
      <c r="D41" s="3">
        <f>NFA_in_yen!E17/'NFA in dollar'!T41</f>
        <v>2251.8140343254399</v>
      </c>
      <c r="E41" s="3">
        <f>NFA_in_yen!G17/'NFA in dollar'!T41</f>
        <v>1342.591787964371</v>
      </c>
      <c r="F41" s="3">
        <f>NFA_in_yen!H17/'NFA in dollar'!T41</f>
        <v>1051.238322832935</v>
      </c>
      <c r="G41" s="3">
        <f>NFA_in_yen!J17/'NFA in dollar'!T41</f>
        <v>200.14121225287855</v>
      </c>
      <c r="H41" s="3">
        <f>NFA_in_yen!K17/'NFA in dollar'!T41</f>
        <v>829.58939821855313</v>
      </c>
      <c r="I41" s="3">
        <f>NFA_in_yen!L17/'NFA in dollar'!T41</f>
        <v>707.40821203562894</v>
      </c>
      <c r="J41" s="3">
        <f>NFA_in_yen!N17/'NFA in dollar'!T41</f>
        <v>1319.1940039104932</v>
      </c>
      <c r="K41" s="3">
        <f>'NFA in dollar'!G41/1000</f>
        <v>2026.5909511915302</v>
      </c>
    </row>
    <row r="42" spans="1:11">
      <c r="A42" s="2">
        <v>2010</v>
      </c>
      <c r="B42" s="3">
        <f>NFA_in_yen!C18/'NFA in dollar'!T42</f>
        <v>831.07427869858805</v>
      </c>
      <c r="C42" s="3">
        <f>NFA_in_yen!D18/'NFA in dollar'!T42</f>
        <v>678.47759361571514</v>
      </c>
      <c r="D42" s="3">
        <f>NFA_in_yen!E18/'NFA in dollar'!T42</f>
        <v>2626.6912216083488</v>
      </c>
      <c r="E42" s="3">
        <f>NFA_in_yen!G18/'NFA in dollar'!T42</f>
        <v>1592.3879680785758</v>
      </c>
      <c r="F42" s="3">
        <f>NFA_in_yen!H18/'NFA in dollar'!T42</f>
        <v>1096.7464702271332</v>
      </c>
      <c r="G42" s="3">
        <f>NFA_in_yen!J18/'NFA in dollar'!T42</f>
        <v>214.88029465930018</v>
      </c>
      <c r="H42" s="3">
        <f>NFA_in_yen!K18/'NFA in dollar'!T42</f>
        <v>988.79066912216081</v>
      </c>
      <c r="I42" s="3">
        <f>NFA_in_yen!L18/'NFA in dollar'!T42</f>
        <v>878.01104972375686</v>
      </c>
      <c r="J42" s="3">
        <f>NFA_in_yen!N18/'NFA in dollar'!T42</f>
        <v>1589.7851442602823</v>
      </c>
      <c r="K42" s="3">
        <f>'NFA in dollar'!G42/1000</f>
        <v>2467.7861392266891</v>
      </c>
    </row>
    <row r="43" spans="1:11">
      <c r="A43" s="2">
        <v>2011</v>
      </c>
      <c r="B43" s="3">
        <f>NFA_in_yen!C19/'NFA in dollar'!T43</f>
        <v>955.85434894493051</v>
      </c>
      <c r="C43" s="3">
        <f>NFA_in_yen!D19/'NFA in dollar'!T43</f>
        <v>665.85177560473494</v>
      </c>
      <c r="D43" s="3">
        <f>NFA_in_yen!E19/'NFA in dollar'!T43</f>
        <v>2709.3926917138447</v>
      </c>
      <c r="E43" s="3">
        <f>NFA_in_yen!G19/'NFA in dollar'!T43</f>
        <v>1803.8085434894492</v>
      </c>
      <c r="F43" s="3">
        <f>NFA_in_yen!H19/'NFA in dollar'!T43</f>
        <v>1293.3221821924858</v>
      </c>
      <c r="G43" s="3">
        <f>NFA_in_yen!J19/'NFA in dollar'!T43</f>
        <v>225.78486875965004</v>
      </c>
      <c r="H43" s="3">
        <f>NFA_in_yen!K19/'NFA in dollar'!T43</f>
        <v>847.15645908389092</v>
      </c>
      <c r="I43" s="3">
        <f>NFA_in_yen!L19/'NFA in dollar'!T43</f>
        <v>1179.0916109109623</v>
      </c>
      <c r="J43" s="3">
        <f>NFA_in_yen!N19/'NFA in dollar'!T43</f>
        <v>1742.3185795162121</v>
      </c>
      <c r="K43" s="3">
        <f>'NFA in dollar'!G43/1000</f>
        <v>2921.4514893384994</v>
      </c>
    </row>
    <row r="44" spans="1:11">
      <c r="A44" s="2">
        <v>2012</v>
      </c>
      <c r="B44" s="3">
        <f>NFA_in_yen!C20/'NFA in dollar'!T44</f>
        <v>1037.7007510109763</v>
      </c>
      <c r="C44" s="3">
        <f>NFA_in_yen!D20/'NFA in dollar'!T44</f>
        <v>687.1750433275563</v>
      </c>
      <c r="D44" s="3">
        <f>NFA_in_yen!E20/'NFA in dollar'!T44</f>
        <v>2838.0935875216637</v>
      </c>
      <c r="E44" s="3">
        <f>NFA_in_yen!G20/'NFA in dollar'!T44</f>
        <v>1766.5049104563836</v>
      </c>
      <c r="F44" s="3">
        <f>NFA_in_yen!H20/'NFA in dollar'!T44</f>
        <v>1264.7487001733102</v>
      </c>
      <c r="G44" s="3">
        <f>NFA_in_yen!J20/'NFA in dollar'!T44</f>
        <v>205.75389948006932</v>
      </c>
      <c r="H44" s="3">
        <f>NFA_in_yen!K20/'NFA in dollar'!T44</f>
        <v>965.40727902946276</v>
      </c>
      <c r="I44" s="3">
        <f>NFA_in_yen!L20/'NFA in dollar'!T44</f>
        <v>1120.1386481802426</v>
      </c>
      <c r="J44" s="3">
        <f>NFA_in_yen!N20/'NFA in dollar'!T44</f>
        <v>1871.1727325245524</v>
      </c>
      <c r="K44" s="3">
        <f>'NFA in dollar'!G44/1000</f>
        <v>2991.3619549294799</v>
      </c>
    </row>
    <row r="45" spans="1:11">
      <c r="A45" s="2">
        <v>2013</v>
      </c>
      <c r="B45" s="3">
        <f>NFA_in_yen!C21/'NFA in dollar'!T45</f>
        <v>1118.0056980056979</v>
      </c>
      <c r="C45" s="3">
        <f>NFA_in_yen!D21/'NFA in dollar'!T45</f>
        <v>709.97150997151005</v>
      </c>
      <c r="D45" s="3">
        <f>NFA_in_yen!E21/'NFA in dollar'!T45</f>
        <v>2701.377018043685</v>
      </c>
      <c r="E45" s="3">
        <f>NFA_in_yen!G21/'NFA in dollar'!T45</f>
        <v>1694.1880341880342</v>
      </c>
      <c r="F45" s="3">
        <f>NFA_in_yen!H21/'NFA in dollar'!T45</f>
        <v>1268.0816714150048</v>
      </c>
      <c r="G45" s="3">
        <f>NFA_in_yen!J21/'NFA in dollar'!T45</f>
        <v>170.71225071225072</v>
      </c>
      <c r="H45" s="3">
        <f>NFA_in_yen!K21/'NFA in dollar'!T45</f>
        <v>1433.4947768281102</v>
      </c>
      <c r="I45" s="3">
        <f>NFA_in_yen!L21/'NFA in dollar'!T45</f>
        <v>958.34757834757841</v>
      </c>
      <c r="J45" s="3">
        <f>NFA_in_yen!N21/'NFA in dollar'!T45</f>
        <v>1838.3285849952517</v>
      </c>
      <c r="K45" s="3"/>
    </row>
    <row r="46" spans="1:11">
      <c r="F46" s="12"/>
    </row>
    <row r="47" spans="1:11">
      <c r="A47" s="11" t="s">
        <v>634</v>
      </c>
    </row>
    <row r="48" spans="1:11">
      <c r="A48" s="11" t="s">
        <v>644</v>
      </c>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pane xSplit="1" ySplit="1" topLeftCell="B2" activePane="bottomRight" state="frozen"/>
      <selection pane="topRight" activeCell="B1" sqref="B1"/>
      <selection pane="bottomLeft" activeCell="A2" sqref="A2"/>
      <selection pane="bottomRight"/>
    </sheetView>
  </sheetViews>
  <sheetFormatPr baseColWidth="12" defaultRowHeight="18" x14ac:dyDescent="0"/>
  <cols>
    <col min="1" max="7" width="12.83203125" style="11"/>
    <col min="8" max="8" width="19.83203125" style="11" customWidth="1"/>
    <col min="9" max="9" width="20.33203125" style="11" customWidth="1"/>
    <col min="10" max="12" width="12.83203125" style="11"/>
  </cols>
  <sheetData>
    <row r="1" spans="1:12">
      <c r="A1" s="11" t="s">
        <v>492</v>
      </c>
      <c r="B1" s="11" t="s">
        <v>494</v>
      </c>
      <c r="C1" s="11" t="s">
        <v>495</v>
      </c>
      <c r="D1" s="11" t="s">
        <v>496</v>
      </c>
      <c r="E1" s="11" t="s">
        <v>493</v>
      </c>
      <c r="H1" s="11" t="s">
        <v>497</v>
      </c>
      <c r="I1" s="11" t="s">
        <v>498</v>
      </c>
      <c r="J1" s="11" t="s">
        <v>499</v>
      </c>
    </row>
    <row r="2" spans="1:12">
      <c r="A2" s="11">
        <v>1996</v>
      </c>
      <c r="B2" s="11">
        <v>29821</v>
      </c>
      <c r="C2" s="11">
        <v>24017</v>
      </c>
      <c r="D2" s="11">
        <v>5804</v>
      </c>
      <c r="E2" s="21">
        <f>C2/B2*100</f>
        <v>80.53720532510647</v>
      </c>
      <c r="F2" s="21"/>
      <c r="G2" s="11">
        <v>1996</v>
      </c>
      <c r="H2" s="21">
        <f>yield!R4</f>
        <v>7.6011150245449688</v>
      </c>
      <c r="I2" s="21">
        <f>yield!W4</f>
        <v>6.5368909898147143</v>
      </c>
      <c r="J2" s="21">
        <f>H2-I2</f>
        <v>1.0642240347302545</v>
      </c>
      <c r="L2" s="21"/>
    </row>
    <row r="3" spans="1:12">
      <c r="A3" s="11">
        <v>1997</v>
      </c>
      <c r="B3" s="11">
        <v>40942</v>
      </c>
      <c r="C3" s="11">
        <v>33395</v>
      </c>
      <c r="D3" s="11">
        <v>7547</v>
      </c>
      <c r="E3" s="21">
        <f t="shared" ref="E3:E19" si="0">C3/B3*100</f>
        <v>81.5666064188364</v>
      </c>
      <c r="F3" s="21"/>
      <c r="G3" s="11">
        <v>1997</v>
      </c>
      <c r="H3" s="21">
        <f>yield!R5</f>
        <v>5.0966240542640318</v>
      </c>
      <c r="I3" s="21">
        <f>yield!W5</f>
        <v>3.4340758469239452</v>
      </c>
      <c r="J3" s="21">
        <f t="shared" ref="J3:J19" si="1">H3-I3</f>
        <v>1.6625482073400866</v>
      </c>
      <c r="L3" s="21"/>
    </row>
    <row r="4" spans="1:12">
      <c r="A4" s="11">
        <v>1998</v>
      </c>
      <c r="B4" s="11">
        <v>41421</v>
      </c>
      <c r="C4" s="11">
        <v>31251</v>
      </c>
      <c r="D4" s="11">
        <v>10170</v>
      </c>
      <c r="E4" s="21">
        <f t="shared" si="0"/>
        <v>75.447236908814375</v>
      </c>
      <c r="F4" s="21"/>
      <c r="G4" s="11">
        <v>1998</v>
      </c>
      <c r="H4" s="21">
        <f>yield!R6</f>
        <v>5.4314120904994212</v>
      </c>
      <c r="I4" s="21">
        <f>yield!W6</f>
        <v>2.8697941893482293</v>
      </c>
      <c r="J4" s="21">
        <f t="shared" si="1"/>
        <v>2.5616179011511919</v>
      </c>
      <c r="L4" s="21"/>
    </row>
    <row r="5" spans="1:12">
      <c r="A5" s="11">
        <v>1999</v>
      </c>
      <c r="B5" s="11">
        <v>33978</v>
      </c>
      <c r="C5" s="11">
        <v>27717</v>
      </c>
      <c r="D5" s="11">
        <v>6261</v>
      </c>
      <c r="E5" s="21">
        <f t="shared" si="0"/>
        <v>81.573371004767793</v>
      </c>
      <c r="F5" s="21"/>
      <c r="G5" s="11">
        <v>1999</v>
      </c>
      <c r="H5" s="21">
        <f>yield!R7</f>
        <v>5.6380844091215687</v>
      </c>
      <c r="I5" s="21">
        <f>yield!W7</f>
        <v>3.0778139954442008</v>
      </c>
      <c r="J5" s="21">
        <f t="shared" si="1"/>
        <v>2.560270413677368</v>
      </c>
      <c r="L5" s="21"/>
    </row>
    <row r="6" spans="1:12">
      <c r="A6" s="11">
        <v>2000</v>
      </c>
      <c r="B6" s="11">
        <v>38387</v>
      </c>
      <c r="C6" s="11">
        <v>32981</v>
      </c>
      <c r="D6" s="11">
        <v>5406</v>
      </c>
      <c r="E6" s="21">
        <f t="shared" si="0"/>
        <v>85.917107354052163</v>
      </c>
      <c r="F6" s="21"/>
      <c r="G6" s="11">
        <v>2000</v>
      </c>
      <c r="H6" s="21">
        <f>yield!R8</f>
        <v>6.365587524077676</v>
      </c>
      <c r="I6" s="21">
        <f>yield!W8</f>
        <v>4.1959252199442298</v>
      </c>
      <c r="J6" s="21">
        <f t="shared" si="1"/>
        <v>2.1696623041334462</v>
      </c>
      <c r="L6" s="21"/>
    </row>
    <row r="7" spans="1:12">
      <c r="A7" s="11">
        <v>2001</v>
      </c>
      <c r="B7" s="11">
        <v>38189</v>
      </c>
      <c r="C7" s="11">
        <v>33546</v>
      </c>
      <c r="D7" s="11">
        <v>4643</v>
      </c>
      <c r="E7" s="21">
        <f t="shared" si="0"/>
        <v>87.842048757495618</v>
      </c>
      <c r="F7" s="21"/>
      <c r="G7" s="11">
        <v>2001</v>
      </c>
      <c r="H7" s="21">
        <f>yield!R9</f>
        <v>6.5117043270932262</v>
      </c>
      <c r="I7" s="21">
        <f>yield!W9</f>
        <v>3.7288439324599798</v>
      </c>
      <c r="J7" s="21">
        <f t="shared" si="1"/>
        <v>2.7828603946332464</v>
      </c>
      <c r="L7" s="21"/>
    </row>
    <row r="8" spans="1:12">
      <c r="A8" s="11">
        <v>2002</v>
      </c>
      <c r="B8" s="11">
        <v>32432</v>
      </c>
      <c r="C8" s="11">
        <v>27799</v>
      </c>
      <c r="D8" s="11">
        <v>4633</v>
      </c>
      <c r="E8" s="21">
        <f t="shared" si="0"/>
        <v>85.714726196349289</v>
      </c>
      <c r="F8" s="21"/>
      <c r="G8" s="11">
        <v>2002</v>
      </c>
      <c r="H8" s="21">
        <f>yield!R10</f>
        <v>5.5990068515252567</v>
      </c>
      <c r="I8" s="21">
        <f>yield!W10</f>
        <v>3.3390515112905916</v>
      </c>
      <c r="J8" s="21">
        <f t="shared" si="1"/>
        <v>2.259955340234665</v>
      </c>
      <c r="L8" s="21"/>
    </row>
    <row r="9" spans="1:12">
      <c r="A9" s="11">
        <v>2003</v>
      </c>
      <c r="B9" s="11">
        <v>32788</v>
      </c>
      <c r="C9" s="11">
        <v>27108</v>
      </c>
      <c r="D9" s="11">
        <v>5680</v>
      </c>
      <c r="E9" s="21">
        <f t="shared" si="0"/>
        <v>82.676588995974129</v>
      </c>
      <c r="F9" s="21"/>
      <c r="G9" s="11">
        <v>2003</v>
      </c>
      <c r="H9" s="21">
        <f>yield!R11</f>
        <v>5.0436068396096267</v>
      </c>
      <c r="I9" s="21">
        <f>yield!W11</f>
        <v>2.6390618877544014</v>
      </c>
      <c r="J9" s="21">
        <f t="shared" si="1"/>
        <v>2.4045449518552253</v>
      </c>
      <c r="L9" s="21"/>
    </row>
    <row r="10" spans="1:12">
      <c r="A10" s="11">
        <v>2004</v>
      </c>
      <c r="B10" s="11">
        <v>42699</v>
      </c>
      <c r="C10" s="11">
        <v>33846</v>
      </c>
      <c r="D10" s="11">
        <v>8852</v>
      </c>
      <c r="E10" s="21">
        <f t="shared" si="0"/>
        <v>79.266493360500249</v>
      </c>
      <c r="F10" s="21"/>
      <c r="G10" s="11">
        <v>2004</v>
      </c>
      <c r="H10" s="21">
        <f>yield!R12</f>
        <v>4.7271405144479806</v>
      </c>
      <c r="I10" s="21">
        <f>yield!W12</f>
        <v>2.1879123626138641</v>
      </c>
      <c r="J10" s="21">
        <f t="shared" si="1"/>
        <v>2.5392281518341164</v>
      </c>
      <c r="L10" s="21"/>
    </row>
    <row r="11" spans="1:12">
      <c r="A11" s="11">
        <v>2005</v>
      </c>
      <c r="B11" s="11">
        <v>49117</v>
      </c>
      <c r="C11" s="11">
        <v>41428</v>
      </c>
      <c r="D11" s="11">
        <v>7689</v>
      </c>
      <c r="E11" s="21">
        <f t="shared" si="0"/>
        <v>84.345542276604846</v>
      </c>
      <c r="F11" s="21"/>
      <c r="G11" s="11">
        <v>2005</v>
      </c>
      <c r="H11" s="21">
        <f>yield!R13</f>
        <v>5.2162141371977722</v>
      </c>
      <c r="I11" s="21">
        <f>yield!W13</f>
        <v>2.0804745249944689</v>
      </c>
      <c r="J11" s="21">
        <f t="shared" si="1"/>
        <v>3.1357396122033032</v>
      </c>
      <c r="L11" s="21"/>
    </row>
    <row r="12" spans="1:12">
      <c r="A12" s="11">
        <v>2006</v>
      </c>
      <c r="B12" s="11">
        <v>60419</v>
      </c>
      <c r="C12" s="11">
        <v>49579</v>
      </c>
      <c r="D12" s="11">
        <v>10840</v>
      </c>
      <c r="E12" s="21">
        <f t="shared" si="0"/>
        <v>82.058623942799443</v>
      </c>
      <c r="F12" s="21"/>
      <c r="G12" s="11">
        <v>2006</v>
      </c>
      <c r="H12" s="21">
        <f>yield!R14</f>
        <v>4.8662076639009566</v>
      </c>
      <c r="I12" s="21">
        <f>yield!W14</f>
        <v>1.4755561273188889</v>
      </c>
      <c r="J12" s="21">
        <f t="shared" si="1"/>
        <v>3.3906515365820677</v>
      </c>
      <c r="L12" s="21"/>
    </row>
    <row r="13" spans="1:12">
      <c r="A13" s="11">
        <v>2007</v>
      </c>
      <c r="B13" s="11">
        <v>79456</v>
      </c>
      <c r="C13" s="11">
        <v>60203</v>
      </c>
      <c r="D13" s="11">
        <v>19253</v>
      </c>
      <c r="E13" s="21">
        <f t="shared" si="0"/>
        <v>75.768979057591622</v>
      </c>
      <c r="F13" s="21"/>
      <c r="G13" s="11">
        <v>2007</v>
      </c>
      <c r="H13" s="21">
        <f>yield!R15</f>
        <v>5.4411582477486009</v>
      </c>
      <c r="I13" s="21">
        <f>yield!W15</f>
        <v>1.7249244907755479</v>
      </c>
      <c r="J13" s="21">
        <f t="shared" si="1"/>
        <v>3.716233756973053</v>
      </c>
      <c r="L13" s="21"/>
    </row>
    <row r="14" spans="1:12">
      <c r="A14" s="11">
        <v>2008</v>
      </c>
      <c r="B14" s="11">
        <v>71282</v>
      </c>
      <c r="C14" s="11">
        <v>50650</v>
      </c>
      <c r="D14" s="11">
        <v>20632</v>
      </c>
      <c r="E14" s="21">
        <f t="shared" si="0"/>
        <v>71.055806514968708</v>
      </c>
      <c r="F14" s="21"/>
      <c r="G14" s="11">
        <v>2008</v>
      </c>
      <c r="H14" s="21">
        <f>yield!R16</f>
        <v>3.6296238315871809</v>
      </c>
      <c r="I14" s="21">
        <f>yield!W16</f>
        <v>-1.9765033964203038E-2</v>
      </c>
      <c r="J14" s="21">
        <f t="shared" si="1"/>
        <v>3.649388865551384</v>
      </c>
      <c r="L14" s="21"/>
    </row>
    <row r="15" spans="1:12">
      <c r="A15" s="11">
        <v>2009</v>
      </c>
      <c r="B15" s="11">
        <v>65124</v>
      </c>
      <c r="C15" s="11">
        <v>42236</v>
      </c>
      <c r="D15" s="11">
        <v>22889</v>
      </c>
      <c r="E15" s="21">
        <f t="shared" si="0"/>
        <v>64.854738652416927</v>
      </c>
      <c r="F15" s="21"/>
      <c r="G15" s="11">
        <v>2009</v>
      </c>
      <c r="H15" s="21">
        <f>yield!R17</f>
        <v>6.2998221060378778</v>
      </c>
      <c r="I15" s="21">
        <f>yield!W17</f>
        <v>2.675503138148061</v>
      </c>
      <c r="J15" s="21">
        <f t="shared" si="1"/>
        <v>3.6243189678898169</v>
      </c>
      <c r="L15" s="21"/>
    </row>
    <row r="16" spans="1:12">
      <c r="A16" s="11">
        <v>2010</v>
      </c>
      <c r="B16" s="11">
        <v>71514</v>
      </c>
      <c r="C16" s="11">
        <v>42877</v>
      </c>
      <c r="D16" s="11">
        <v>28638</v>
      </c>
      <c r="E16" s="21">
        <f t="shared" si="0"/>
        <v>59.956092513354029</v>
      </c>
      <c r="F16" s="21"/>
      <c r="G16" s="11">
        <v>2010</v>
      </c>
      <c r="H16" s="21">
        <f>yield!R18</f>
        <v>4.7213582237508378</v>
      </c>
      <c r="I16" s="21">
        <f>yield!W18</f>
        <v>2.0712170628339743</v>
      </c>
      <c r="J16" s="21">
        <f t="shared" si="1"/>
        <v>2.6501411609168635</v>
      </c>
      <c r="L16" s="21"/>
    </row>
    <row r="17" spans="1:12">
      <c r="A17" s="11">
        <v>2011</v>
      </c>
      <c r="B17" s="11">
        <v>91639</v>
      </c>
      <c r="C17" s="11">
        <v>45730</v>
      </c>
      <c r="D17" s="11">
        <v>45909</v>
      </c>
      <c r="E17" s="21">
        <f t="shared" si="0"/>
        <v>49.902334159037096</v>
      </c>
      <c r="F17" s="21"/>
      <c r="G17" s="11">
        <v>2011</v>
      </c>
      <c r="H17" s="21">
        <f>yield!R19</f>
        <v>3.9480924929774286</v>
      </c>
      <c r="I17" s="21">
        <f>yield!W19</f>
        <v>1.5455079488928769</v>
      </c>
      <c r="J17" s="21">
        <f t="shared" si="1"/>
        <v>2.4025845440845517</v>
      </c>
      <c r="L17" s="21"/>
    </row>
    <row r="18" spans="1:12">
      <c r="A18" s="11">
        <v>2012</v>
      </c>
      <c r="B18" s="11">
        <v>96948</v>
      </c>
      <c r="C18" s="11">
        <v>49504</v>
      </c>
      <c r="D18" s="11">
        <v>47444</v>
      </c>
      <c r="E18" s="21">
        <f t="shared" si="0"/>
        <v>51.062425217642449</v>
      </c>
      <c r="F18" s="21"/>
      <c r="G18" s="11">
        <v>2012</v>
      </c>
      <c r="H18" s="21">
        <f>yield!R20</f>
        <v>3.596893564768</v>
      </c>
      <c r="I18" s="21">
        <f>yield!W20</f>
        <v>1.0537608737574145</v>
      </c>
      <c r="J18" s="21">
        <f t="shared" si="1"/>
        <v>2.5431326910105856</v>
      </c>
      <c r="L18" s="21"/>
    </row>
    <row r="19" spans="1:12">
      <c r="A19" s="11">
        <v>2013</v>
      </c>
      <c r="B19" s="11">
        <v>100914</v>
      </c>
      <c r="C19" s="11">
        <v>51543</v>
      </c>
      <c r="D19" s="11">
        <v>49371</v>
      </c>
      <c r="E19" s="21">
        <f t="shared" si="0"/>
        <v>51.076163862298593</v>
      </c>
      <c r="F19" s="21"/>
      <c r="G19" s="11">
        <v>2013</v>
      </c>
      <c r="H19" s="21">
        <f>yield!R21</f>
        <v>3.0948420980812852</v>
      </c>
      <c r="I19" s="21">
        <f>yield!W21</f>
        <v>0.70074402544035852</v>
      </c>
      <c r="J19" s="21">
        <f t="shared" si="1"/>
        <v>2.3940980726409267</v>
      </c>
      <c r="L19" s="21"/>
    </row>
    <row r="20" spans="1:12">
      <c r="H20" s="21"/>
      <c r="I20" s="21"/>
      <c r="L20" s="21"/>
    </row>
    <row r="21" spans="1:12">
      <c r="A21" s="11" t="s">
        <v>500</v>
      </c>
    </row>
    <row r="22" spans="1:12">
      <c r="A22" s="11" t="s">
        <v>501</v>
      </c>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47"/>
  <sheetViews>
    <sheetView workbookViewId="0">
      <pane xSplit="1" ySplit="3" topLeftCell="B4" activePane="bottomRight" state="frozen"/>
      <selection pane="topRight" activeCell="B1" sqref="B1"/>
      <selection pane="bottomLeft" activeCell="A4" sqref="A4"/>
      <selection pane="bottomRight"/>
    </sheetView>
  </sheetViews>
  <sheetFormatPr baseColWidth="12" defaultRowHeight="18" x14ac:dyDescent="0"/>
  <cols>
    <col min="1" max="1" width="12.83203125" style="23"/>
    <col min="2" max="2" width="15" style="23" customWidth="1"/>
    <col min="3" max="3" width="18.1640625" style="23" customWidth="1"/>
    <col min="4" max="6" width="12.83203125" style="23"/>
    <col min="7" max="7" width="12.83203125" style="11"/>
    <col min="8" max="8" width="22.5" style="23" customWidth="1"/>
    <col min="9" max="9" width="26.6640625" style="23" customWidth="1"/>
    <col min="10" max="10" width="12.83203125" style="23"/>
    <col min="11" max="11" width="22.5" style="23" customWidth="1"/>
    <col min="12" max="12" width="24.6640625" style="23" customWidth="1"/>
    <col min="13" max="13" width="12.83203125" style="11"/>
    <col min="14" max="15" width="12.83203125" style="23"/>
    <col min="16" max="16" width="12.83203125" style="11"/>
    <col min="17" max="17" width="14" style="11" customWidth="1"/>
    <col min="18" max="19" width="12.83203125" style="11"/>
    <col min="20" max="20" width="17.5" style="11" customWidth="1"/>
    <col min="21" max="21" width="12.83203125" style="11"/>
    <col min="23" max="37" width="12.83203125" style="20"/>
    <col min="38" max="38" width="12.83203125" style="21"/>
    <col min="39" max="39" width="22.1640625" style="21" customWidth="1"/>
    <col min="40" max="40" width="12.83203125" style="21"/>
    <col min="41" max="41" width="12.83203125" style="11"/>
    <col min="42" max="42" width="16.33203125" style="11" customWidth="1"/>
  </cols>
  <sheetData>
    <row r="1" spans="1:42" s="1" customFormat="1" ht="76">
      <c r="A1" s="58"/>
      <c r="B1" s="58" t="s">
        <v>444</v>
      </c>
      <c r="C1" s="58" t="s">
        <v>445</v>
      </c>
      <c r="D1" s="58" t="s">
        <v>278</v>
      </c>
      <c r="E1" s="58" t="s">
        <v>382</v>
      </c>
      <c r="F1" s="58" t="s">
        <v>279</v>
      </c>
      <c r="G1" s="9"/>
      <c r="H1" s="58" t="s">
        <v>280</v>
      </c>
      <c r="I1" s="58" t="s">
        <v>281</v>
      </c>
      <c r="J1" s="58" t="s">
        <v>282</v>
      </c>
      <c r="K1" s="58" t="s">
        <v>283</v>
      </c>
      <c r="L1" s="58" t="s">
        <v>284</v>
      </c>
      <c r="M1" s="9"/>
      <c r="N1" s="58" t="s">
        <v>285</v>
      </c>
      <c r="O1" s="58" t="s">
        <v>286</v>
      </c>
      <c r="P1" s="9"/>
      <c r="Q1" s="9" t="s">
        <v>597</v>
      </c>
      <c r="R1" s="9" t="s">
        <v>598</v>
      </c>
      <c r="S1" s="9"/>
      <c r="T1" s="9" t="s">
        <v>287</v>
      </c>
      <c r="U1" s="9" t="s">
        <v>288</v>
      </c>
      <c r="W1" s="57" t="s">
        <v>289</v>
      </c>
      <c r="X1" s="57"/>
      <c r="Y1" s="57" t="s">
        <v>290</v>
      </c>
      <c r="Z1" s="57" t="s">
        <v>291</v>
      </c>
      <c r="AA1" s="57" t="s">
        <v>292</v>
      </c>
      <c r="AB1" s="57" t="s">
        <v>198</v>
      </c>
      <c r="AC1" s="57"/>
      <c r="AD1" s="57" t="s">
        <v>599</v>
      </c>
      <c r="AE1" s="57" t="s">
        <v>600</v>
      </c>
      <c r="AF1" s="57" t="s">
        <v>293</v>
      </c>
      <c r="AG1" s="57"/>
      <c r="AH1" s="57" t="s">
        <v>446</v>
      </c>
      <c r="AI1" s="57" t="s">
        <v>447</v>
      </c>
      <c r="AJ1" s="57" t="s">
        <v>193</v>
      </c>
      <c r="AK1" s="57"/>
      <c r="AL1" s="57"/>
      <c r="AM1" s="57"/>
      <c r="AN1" s="57"/>
      <c r="AO1" s="9"/>
      <c r="AP1" s="9"/>
    </row>
    <row r="2" spans="1:42">
      <c r="A2" s="23" t="s">
        <v>294</v>
      </c>
      <c r="B2" s="67" t="s">
        <v>6</v>
      </c>
      <c r="C2" s="67" t="s">
        <v>6</v>
      </c>
      <c r="D2" s="67"/>
      <c r="E2" s="67" t="s">
        <v>200</v>
      </c>
      <c r="F2" s="67" t="s">
        <v>200</v>
      </c>
      <c r="G2" s="68"/>
      <c r="H2" s="67" t="s">
        <v>6</v>
      </c>
      <c r="I2" s="67" t="s">
        <v>6</v>
      </c>
      <c r="J2" s="67"/>
      <c r="K2" s="67" t="s">
        <v>200</v>
      </c>
      <c r="L2" s="67" t="s">
        <v>200</v>
      </c>
      <c r="M2" s="68"/>
      <c r="N2" s="67" t="s">
        <v>200</v>
      </c>
      <c r="O2" s="67" t="s">
        <v>200</v>
      </c>
      <c r="Q2" s="11" t="s">
        <v>200</v>
      </c>
      <c r="R2" s="11" t="s">
        <v>200</v>
      </c>
      <c r="T2" s="11" t="s">
        <v>200</v>
      </c>
      <c r="U2" s="11" t="s">
        <v>200</v>
      </c>
      <c r="W2" s="21" t="s">
        <v>448</v>
      </c>
      <c r="X2" s="21"/>
      <c r="Y2" s="21"/>
      <c r="Z2" s="21" t="s">
        <v>448</v>
      </c>
      <c r="AA2" s="21" t="s">
        <v>448</v>
      </c>
      <c r="AB2" s="21" t="s">
        <v>448</v>
      </c>
      <c r="AC2" s="21"/>
      <c r="AD2" s="21" t="s">
        <v>448</v>
      </c>
      <c r="AE2" s="21" t="s">
        <v>448</v>
      </c>
      <c r="AF2" s="21" t="s">
        <v>448</v>
      </c>
      <c r="AG2" s="21"/>
      <c r="AH2" s="21" t="s">
        <v>448</v>
      </c>
      <c r="AI2" s="21" t="s">
        <v>448</v>
      </c>
      <c r="AJ2" s="21" t="s">
        <v>448</v>
      </c>
      <c r="AK2" s="21"/>
    </row>
    <row r="3" spans="1:42">
      <c r="A3" s="23" t="s">
        <v>295</v>
      </c>
      <c r="B3" s="69" t="s">
        <v>485</v>
      </c>
      <c r="C3" s="67"/>
      <c r="D3" s="67" t="s">
        <v>218</v>
      </c>
      <c r="E3" s="69" t="s">
        <v>486</v>
      </c>
      <c r="F3" s="67"/>
      <c r="G3" s="68"/>
      <c r="H3" s="67" t="s">
        <v>296</v>
      </c>
      <c r="I3" s="67" t="s">
        <v>296</v>
      </c>
      <c r="J3" s="67" t="s">
        <v>218</v>
      </c>
      <c r="K3" s="67" t="s">
        <v>296</v>
      </c>
      <c r="L3" s="67" t="s">
        <v>296</v>
      </c>
      <c r="M3" s="68"/>
      <c r="N3" s="67" t="s">
        <v>297</v>
      </c>
      <c r="O3" s="67" t="s">
        <v>297</v>
      </c>
      <c r="W3" s="21" t="s">
        <v>218</v>
      </c>
      <c r="X3" s="21"/>
      <c r="Y3" s="21"/>
      <c r="Z3" s="21"/>
      <c r="AA3" s="21"/>
      <c r="AB3" s="21"/>
      <c r="AC3" s="21"/>
      <c r="AD3" s="21"/>
      <c r="AE3" s="21"/>
      <c r="AF3" s="21"/>
      <c r="AG3" s="21"/>
      <c r="AH3" s="21"/>
      <c r="AI3" s="21"/>
      <c r="AJ3" s="21"/>
      <c r="AK3" s="21"/>
    </row>
    <row r="4" spans="1:42">
      <c r="A4" s="23">
        <v>1970</v>
      </c>
      <c r="B4" s="23">
        <f>'NFA in dollar'!K2</f>
        <v>29400.265043598265</v>
      </c>
      <c r="C4" s="23">
        <f>'NFA in dollar'!L2</f>
        <v>17252.706968727984</v>
      </c>
      <c r="D4" s="23">
        <v>357.64999999899999</v>
      </c>
      <c r="E4" s="23">
        <f t="shared" ref="E4:E29" si="0">B4*D4/1000</f>
        <v>10515.004792813519</v>
      </c>
      <c r="F4" s="23">
        <f t="shared" ref="F4:F29" si="1">C4*D4/1000</f>
        <v>6170.4306473483111</v>
      </c>
      <c r="H4" s="23">
        <v>710</v>
      </c>
      <c r="I4" s="23">
        <v>919</v>
      </c>
      <c r="J4" s="23">
        <v>360.00000035900001</v>
      </c>
      <c r="K4" s="23">
        <f t="shared" ref="K4:K28" si="2">H4*J4/1000</f>
        <v>255.60000025489001</v>
      </c>
      <c r="L4" s="23">
        <f t="shared" ref="L4:L28" si="3">I4*J4/1000</f>
        <v>330.840000329921</v>
      </c>
      <c r="W4" s="21">
        <v>7.6732673268515104</v>
      </c>
      <c r="X4" s="21"/>
      <c r="Y4" s="21"/>
      <c r="Z4" s="21"/>
      <c r="AA4" s="21"/>
      <c r="AB4" s="21"/>
      <c r="AC4" s="21"/>
      <c r="AD4" s="21"/>
      <c r="AE4" s="21"/>
      <c r="AF4" s="21"/>
      <c r="AG4" s="21"/>
      <c r="AH4" s="21"/>
      <c r="AI4" s="21"/>
      <c r="AJ4" s="21"/>
      <c r="AK4" s="21"/>
    </row>
    <row r="5" spans="1:42">
      <c r="A5" s="23">
        <v>1971</v>
      </c>
      <c r="B5" s="23">
        <f>'NFA in dollar'!K3</f>
        <v>40763.188198673204</v>
      </c>
      <c r="C5" s="23">
        <f>'NFA in dollar'!L3</f>
        <v>22846.298039268979</v>
      </c>
      <c r="D5" s="23">
        <v>314.79999999799998</v>
      </c>
      <c r="E5" s="23">
        <f t="shared" si="0"/>
        <v>12832.251644860797</v>
      </c>
      <c r="F5" s="23">
        <f t="shared" si="1"/>
        <v>7192.0146227161813</v>
      </c>
      <c r="H5" s="23">
        <v>980</v>
      </c>
      <c r="I5" s="23">
        <v>1027</v>
      </c>
      <c r="J5" s="23">
        <v>350.677693533362</v>
      </c>
      <c r="K5" s="23">
        <f t="shared" si="2"/>
        <v>343.66413966269477</v>
      </c>
      <c r="L5" s="23">
        <f t="shared" si="3"/>
        <v>360.14599125876276</v>
      </c>
      <c r="W5" s="21">
        <v>6.3504208110176004</v>
      </c>
      <c r="X5" s="21"/>
      <c r="Y5" s="21"/>
      <c r="Z5" s="21"/>
      <c r="AA5" s="21"/>
      <c r="AB5" s="21"/>
      <c r="AC5" s="21"/>
      <c r="AD5" s="21"/>
      <c r="AE5" s="21"/>
      <c r="AF5" s="21"/>
      <c r="AG5" s="21"/>
      <c r="AH5" s="21"/>
      <c r="AI5" s="21"/>
      <c r="AJ5" s="21"/>
      <c r="AK5" s="21"/>
    </row>
    <row r="6" spans="1:42" ht="31">
      <c r="A6" s="23">
        <v>1972</v>
      </c>
      <c r="B6" s="23">
        <f>'NFA in dollar'!K4</f>
        <v>52703.868765832107</v>
      </c>
      <c r="C6" s="23">
        <f>'NFA in dollar'!L4</f>
        <v>29575.610389572168</v>
      </c>
      <c r="D6" s="23">
        <v>301.99999999900001</v>
      </c>
      <c r="E6" s="23">
        <f t="shared" si="0"/>
        <v>15916.568367228594</v>
      </c>
      <c r="F6" s="23">
        <f t="shared" si="1"/>
        <v>8931.8343376212197</v>
      </c>
      <c r="H6" s="23">
        <v>1622</v>
      </c>
      <c r="I6" s="23">
        <v>1255</v>
      </c>
      <c r="J6" s="23">
        <v>303.17249999900002</v>
      </c>
      <c r="K6" s="23">
        <f t="shared" si="2"/>
        <v>491.74579499837802</v>
      </c>
      <c r="L6" s="23">
        <f t="shared" si="3"/>
        <v>380.48148749874503</v>
      </c>
      <c r="W6" s="21">
        <v>4.8441247002397203</v>
      </c>
      <c r="X6" s="21"/>
      <c r="Y6" s="21"/>
      <c r="Z6" s="21"/>
      <c r="AA6" s="21"/>
      <c r="AB6" s="21"/>
      <c r="AC6" s="21"/>
      <c r="AD6" s="21"/>
      <c r="AE6" s="21"/>
      <c r="AF6" s="21"/>
      <c r="AG6" s="21"/>
      <c r="AH6" s="21"/>
      <c r="AI6" s="21"/>
      <c r="AJ6" s="21"/>
      <c r="AK6" s="21"/>
      <c r="AM6" s="111" t="s">
        <v>298</v>
      </c>
      <c r="AN6" s="112" t="s">
        <v>299</v>
      </c>
      <c r="AO6" s="113" t="s">
        <v>197</v>
      </c>
      <c r="AP6" s="114" t="s">
        <v>643</v>
      </c>
    </row>
    <row r="7" spans="1:42">
      <c r="A7" s="23">
        <v>1973</v>
      </c>
      <c r="B7" s="23">
        <f>'NFA in dollar'!K5</f>
        <v>50443.025743426864</v>
      </c>
      <c r="C7" s="23">
        <f>'NFA in dollar'!L5</f>
        <v>34335.753379877242</v>
      </c>
      <c r="D7" s="23">
        <v>279.99999999900001</v>
      </c>
      <c r="E7" s="23">
        <f t="shared" si="0"/>
        <v>14124.047208109079</v>
      </c>
      <c r="F7" s="23">
        <f t="shared" si="1"/>
        <v>9614.0109463312929</v>
      </c>
      <c r="H7" s="23">
        <v>2655</v>
      </c>
      <c r="I7" s="23">
        <v>2165</v>
      </c>
      <c r="J7" s="23">
        <v>271.70166666608299</v>
      </c>
      <c r="K7" s="23">
        <f t="shared" si="2"/>
        <v>721.36792499845035</v>
      </c>
      <c r="L7" s="23">
        <f t="shared" si="3"/>
        <v>588.2341083320697</v>
      </c>
      <c r="W7" s="21">
        <v>11.6193961573652</v>
      </c>
      <c r="X7" s="21"/>
      <c r="Y7" s="21"/>
      <c r="Z7" s="21"/>
      <c r="AA7" s="21"/>
      <c r="AB7" s="21"/>
      <c r="AC7" s="21"/>
      <c r="AD7" s="21"/>
      <c r="AE7" s="21"/>
      <c r="AF7" s="21"/>
      <c r="AG7" s="21"/>
      <c r="AH7" s="21"/>
      <c r="AI7" s="21"/>
      <c r="AJ7" s="21"/>
      <c r="AK7" s="21"/>
      <c r="AM7" s="111" t="s">
        <v>629</v>
      </c>
      <c r="AN7" s="111">
        <f>AVERAGE(AJ11:AJ47)</f>
        <v>-1.7374581729616501</v>
      </c>
      <c r="AO7" s="111">
        <f>AVERAGE(AB11:AB47)</f>
        <v>0.75781846753949966</v>
      </c>
      <c r="AP7" s="111">
        <f>AVERAGE(AF11:AF47)</f>
        <v>-2.4952766405011531</v>
      </c>
    </row>
    <row r="8" spans="1:42">
      <c r="A8" s="23">
        <v>1974</v>
      </c>
      <c r="B8" s="23">
        <f>'NFA in dollar'!K6</f>
        <v>38246.663611598851</v>
      </c>
      <c r="C8" s="23">
        <f>'NFA in dollar'!L6</f>
        <v>46701.840464607376</v>
      </c>
      <c r="D8" s="23">
        <v>300.949999999</v>
      </c>
      <c r="E8" s="23">
        <f t="shared" si="0"/>
        <v>11510.333413872428</v>
      </c>
      <c r="F8" s="23">
        <f t="shared" si="1"/>
        <v>14054.918887776887</v>
      </c>
      <c r="H8" s="23">
        <v>3562</v>
      </c>
      <c r="I8" s="23">
        <v>4013</v>
      </c>
      <c r="J8" s="23">
        <v>292.08249999924999</v>
      </c>
      <c r="K8" s="23">
        <f t="shared" si="2"/>
        <v>1040.3978649973285</v>
      </c>
      <c r="L8" s="23">
        <f t="shared" si="3"/>
        <v>1172.1270724969902</v>
      </c>
      <c r="W8" s="21">
        <v>23.176229508196698</v>
      </c>
      <c r="X8" s="21"/>
      <c r="Y8" s="21"/>
      <c r="Z8" s="21"/>
      <c r="AA8" s="21"/>
      <c r="AB8" s="21"/>
      <c r="AC8" s="21"/>
      <c r="AD8" s="21"/>
      <c r="AE8" s="21"/>
      <c r="AF8" s="21"/>
      <c r="AG8" s="21"/>
      <c r="AH8" s="21"/>
      <c r="AI8" s="21"/>
      <c r="AJ8" s="21"/>
      <c r="AK8" s="21"/>
      <c r="AM8" s="111" t="s">
        <v>647</v>
      </c>
      <c r="AN8" s="111">
        <f>AVERAGE(AJ30:AJ47)</f>
        <v>1.0505054366397322</v>
      </c>
      <c r="AO8" s="111">
        <f>AVERAGE(AB30:AB47)</f>
        <v>1.6646060197105808</v>
      </c>
      <c r="AP8" s="111">
        <f>AVERAGE(AF30:AF47)</f>
        <v>-0.61410058307084681</v>
      </c>
    </row>
    <row r="9" spans="1:42">
      <c r="A9" s="23">
        <v>1975</v>
      </c>
      <c r="B9" s="23">
        <f>'NFA in dollar'!K7</f>
        <v>60114.901320068901</v>
      </c>
      <c r="C9" s="23">
        <f>'NFA in dollar'!L7</f>
        <v>50997.599985762536</v>
      </c>
      <c r="D9" s="23">
        <v>305.14999999899999</v>
      </c>
      <c r="E9" s="23">
        <f t="shared" si="0"/>
        <v>18344.062137758912</v>
      </c>
      <c r="F9" s="23">
        <f t="shared" si="1"/>
        <v>15561.917635604439</v>
      </c>
      <c r="H9" s="23">
        <v>3616</v>
      </c>
      <c r="I9" s="23">
        <v>3889</v>
      </c>
      <c r="J9" s="23">
        <v>296.78749999916698</v>
      </c>
      <c r="K9" s="23">
        <f t="shared" si="2"/>
        <v>1073.1835999969878</v>
      </c>
      <c r="L9" s="23">
        <f t="shared" si="3"/>
        <v>1154.2065874967602</v>
      </c>
      <c r="W9" s="21">
        <v>11.778406255198799</v>
      </c>
      <c r="X9" s="21"/>
      <c r="Y9" s="21"/>
      <c r="Z9" s="21"/>
      <c r="AA9" s="21"/>
      <c r="AB9" s="21"/>
      <c r="AC9" s="21"/>
      <c r="AD9" s="21"/>
      <c r="AE9" s="21"/>
      <c r="AF9" s="21"/>
      <c r="AG9" s="21"/>
      <c r="AH9" s="21"/>
      <c r="AI9" s="21"/>
      <c r="AJ9" s="21"/>
      <c r="AK9" s="21"/>
      <c r="AM9" s="111" t="s">
        <v>648</v>
      </c>
      <c r="AN9" s="111">
        <f>AVERAGE(AJ11:AJ29)</f>
        <v>-4.3786868557419067</v>
      </c>
      <c r="AO9" s="111">
        <f>AVERAGE(AB11:AB29)</f>
        <v>-0.10124342399099792</v>
      </c>
      <c r="AP9" s="111">
        <f>AVERAGE(AF11:AF29)</f>
        <v>-4.2774434317509149</v>
      </c>
    </row>
    <row r="10" spans="1:42">
      <c r="A10" s="23">
        <v>1976</v>
      </c>
      <c r="B10" s="23">
        <f>'NFA in dollar'!K8</f>
        <v>72155.044090131429</v>
      </c>
      <c r="C10" s="23">
        <f>'NFA in dollar'!L8</f>
        <v>58053.967052384127</v>
      </c>
      <c r="D10" s="23">
        <v>292.79999999799998</v>
      </c>
      <c r="E10" s="23">
        <f t="shared" si="0"/>
        <v>21126.99690944617</v>
      </c>
      <c r="F10" s="23">
        <f t="shared" si="1"/>
        <v>16998.201552821964</v>
      </c>
      <c r="H10" s="23">
        <v>3460</v>
      </c>
      <c r="I10" s="23">
        <v>3664</v>
      </c>
      <c r="J10" s="23">
        <v>296.55249999916703</v>
      </c>
      <c r="K10" s="23">
        <f t="shared" si="2"/>
        <v>1026.0716499971179</v>
      </c>
      <c r="L10" s="23">
        <f t="shared" si="3"/>
        <v>1086.5683599969479</v>
      </c>
      <c r="W10" s="21">
        <v>9.3912784640570806</v>
      </c>
      <c r="X10" s="21"/>
      <c r="Y10" s="21"/>
      <c r="Z10" s="21"/>
      <c r="AA10" s="21"/>
      <c r="AB10" s="21"/>
      <c r="AC10" s="21"/>
      <c r="AD10" s="21"/>
      <c r="AE10" s="21"/>
      <c r="AF10" s="21"/>
      <c r="AG10" s="21"/>
      <c r="AH10" s="21"/>
      <c r="AI10" s="21"/>
      <c r="AJ10" s="21"/>
      <c r="AK10" s="21"/>
    </row>
    <row r="11" spans="1:42">
      <c r="A11" s="23">
        <v>1977</v>
      </c>
      <c r="B11" s="23">
        <f>'NFA in dollar'!K9</f>
        <v>88876.367639731194</v>
      </c>
      <c r="C11" s="23">
        <f>'NFA in dollar'!L9</f>
        <v>57718.813615220883</v>
      </c>
      <c r="D11" s="23">
        <v>239.99999999900001</v>
      </c>
      <c r="E11" s="23">
        <f t="shared" si="0"/>
        <v>21330.328233446609</v>
      </c>
      <c r="F11" s="23">
        <f t="shared" si="1"/>
        <v>13852.515267595292</v>
      </c>
      <c r="H11" s="23">
        <v>3738</v>
      </c>
      <c r="I11" s="23">
        <v>3623</v>
      </c>
      <c r="J11" s="23">
        <v>268.50999999933299</v>
      </c>
      <c r="K11" s="23">
        <f t="shared" si="2"/>
        <v>1003.6903799975067</v>
      </c>
      <c r="L11" s="23">
        <f t="shared" si="3"/>
        <v>972.81172999758348</v>
      </c>
      <c r="N11" s="23">
        <v>3059.0769999887898</v>
      </c>
      <c r="O11" s="23">
        <v>75.543733330600304</v>
      </c>
      <c r="Q11" s="23">
        <f t="shared" ref="Q11:Q29" si="4">E11-E10-N11</f>
        <v>-2855.7456759883507</v>
      </c>
      <c r="R11" s="23">
        <f t="shared" ref="R11:R29" si="5">F11-F10-O11</f>
        <v>-3221.2300185572717</v>
      </c>
      <c r="T11" s="23">
        <f t="shared" ref="T11:T29" si="6">K11+Q11</f>
        <v>-1852.0552959908441</v>
      </c>
      <c r="U11" s="23">
        <f t="shared" ref="U11:U29" si="7">L11+R11</f>
        <v>-2248.4182885596883</v>
      </c>
      <c r="W11" s="21">
        <v>8.1360544217686606</v>
      </c>
      <c r="X11" s="21"/>
      <c r="Y11" s="21"/>
      <c r="Z11" s="21">
        <f t="shared" ref="Z11:Z29" si="8">((1+K11/E10)/(1+W11/100)-1)*100</f>
        <v>-3.1305991833381897</v>
      </c>
      <c r="AA11" s="21">
        <f t="shared" ref="AA11:AA29" si="9">((1+L11/F10)/(1+W11/100)-1)*100</f>
        <v>-2.2314731646714492</v>
      </c>
      <c r="AB11" s="21">
        <f>Z11-AA11</f>
        <v>-0.89912601866674047</v>
      </c>
      <c r="AC11" s="21"/>
      <c r="AD11" s="21">
        <f t="shared" ref="AD11:AD29" si="10">((1+Q11/E10)/(1+W11/100)-1)*100</f>
        <v>-20.023940693427743</v>
      </c>
      <c r="AE11" s="21">
        <f t="shared" ref="AE11:AE29" si="11">((1+R11/F10)/(1+W11/100)-1)*100</f>
        <v>-25.048510623214792</v>
      </c>
      <c r="AF11" s="21">
        <f>AD11-AE11</f>
        <v>5.0245699297870487</v>
      </c>
      <c r="AG11" s="21"/>
      <c r="AH11" s="21">
        <f t="shared" ref="AH11:AH29" si="12">((1+T11/E10)/(1+W11/100)-1)*100</f>
        <v>-15.630634491763452</v>
      </c>
      <c r="AI11" s="21">
        <f t="shared" ref="AI11:AI29" si="13">((1+U11/F10)/(1+W11/100)-1)*100</f>
        <v>-19.756078402883759</v>
      </c>
      <c r="AJ11" s="21">
        <f>AH11-AI11</f>
        <v>4.125443911120307</v>
      </c>
      <c r="AK11" s="21"/>
      <c r="AM11" s="21" t="s">
        <v>300</v>
      </c>
    </row>
    <row r="12" spans="1:42">
      <c r="A12" s="23">
        <v>1978</v>
      </c>
      <c r="B12" s="23">
        <f>'NFA in dollar'!K10</f>
        <v>131183.98407414588</v>
      </c>
      <c r="C12" s="23">
        <f>'NFA in dollar'!L10</f>
        <v>81991.44986527873</v>
      </c>
      <c r="D12" s="23">
        <v>194.599999999</v>
      </c>
      <c r="E12" s="23">
        <f t="shared" si="0"/>
        <v>25528.403300697602</v>
      </c>
      <c r="F12" s="23">
        <f t="shared" si="1"/>
        <v>15955.536143701249</v>
      </c>
      <c r="H12" s="23">
        <v>5278</v>
      </c>
      <c r="I12" s="23">
        <v>4378</v>
      </c>
      <c r="J12" s="23">
        <v>210.441666666</v>
      </c>
      <c r="K12" s="23">
        <f t="shared" si="2"/>
        <v>1110.711116663148</v>
      </c>
      <c r="L12" s="23">
        <f t="shared" si="3"/>
        <v>921.31361666374801</v>
      </c>
      <c r="N12" s="23">
        <v>6549.1437333142503</v>
      </c>
      <c r="O12" s="23">
        <v>3034.5879333255798</v>
      </c>
      <c r="Q12" s="23">
        <f t="shared" si="4"/>
        <v>-2351.0686660632573</v>
      </c>
      <c r="R12" s="23">
        <f t="shared" si="5"/>
        <v>-931.56705721962317</v>
      </c>
      <c r="T12" s="23">
        <f t="shared" si="6"/>
        <v>-1240.3575494001093</v>
      </c>
      <c r="U12" s="23">
        <f t="shared" si="7"/>
        <v>-10.253440555875159</v>
      </c>
      <c r="W12" s="21">
        <v>4.2148968293911002</v>
      </c>
      <c r="X12" s="21"/>
      <c r="Y12" s="21"/>
      <c r="Z12" s="21">
        <f t="shared" si="8"/>
        <v>0.95216237441047014</v>
      </c>
      <c r="AA12" s="21">
        <f t="shared" si="9"/>
        <v>2.3374577616012804</v>
      </c>
      <c r="AB12" s="21">
        <f t="shared" ref="AB12:AB47" si="14">Z12-AA12</f>
        <v>-1.3852953871908102</v>
      </c>
      <c r="AC12" s="21"/>
      <c r="AD12" s="21">
        <f t="shared" si="10"/>
        <v>-14.620830893770664</v>
      </c>
      <c r="AE12" s="21">
        <f t="shared" si="11"/>
        <v>-10.497339445428711</v>
      </c>
      <c r="AF12" s="21">
        <f t="shared" ref="AF12:AF47" si="15">AD12-AE12</f>
        <v>-4.1234914483419534</v>
      </c>
      <c r="AG12" s="21"/>
      <c r="AH12" s="21">
        <f t="shared" si="12"/>
        <v>-9.6242401721429509</v>
      </c>
      <c r="AI12" s="21">
        <f t="shared" si="13"/>
        <v>-4.115453336610198</v>
      </c>
      <c r="AJ12" s="21">
        <f t="shared" ref="AJ12:AJ47" si="16">AH12-AI12</f>
        <v>-5.5087868355327529</v>
      </c>
      <c r="AK12" s="21"/>
      <c r="AM12" s="21" t="s">
        <v>301</v>
      </c>
    </row>
    <row r="13" spans="1:42">
      <c r="A13" s="23">
        <v>1979</v>
      </c>
      <c r="B13" s="23">
        <f>'NFA in dollar'!K11</f>
        <v>133434.26963782212</v>
      </c>
      <c r="C13" s="23">
        <f>'NFA in dollar'!L11</f>
        <v>105900.47854604328</v>
      </c>
      <c r="D13" s="23">
        <v>239.699999999</v>
      </c>
      <c r="E13" s="23">
        <f t="shared" si="0"/>
        <v>31984.194432052525</v>
      </c>
      <c r="F13" s="23">
        <f t="shared" si="1"/>
        <v>25384.344707380671</v>
      </c>
      <c r="H13" s="23">
        <v>8965</v>
      </c>
      <c r="I13" s="23">
        <v>6954</v>
      </c>
      <c r="J13" s="23">
        <v>219.13999999933301</v>
      </c>
      <c r="K13" s="23">
        <f t="shared" si="2"/>
        <v>1964.5900999940206</v>
      </c>
      <c r="L13" s="23">
        <f t="shared" si="3"/>
        <v>1523.8995599953619</v>
      </c>
      <c r="N13" s="23">
        <v>2488.0649666611798</v>
      </c>
      <c r="O13" s="23">
        <v>3942.84499999215</v>
      </c>
      <c r="Q13" s="23">
        <f t="shared" si="4"/>
        <v>3967.7261646937432</v>
      </c>
      <c r="R13" s="23">
        <f t="shared" si="5"/>
        <v>5485.9635636872717</v>
      </c>
      <c r="T13" s="23">
        <f t="shared" si="6"/>
        <v>5932.3162646877636</v>
      </c>
      <c r="U13" s="23">
        <f t="shared" si="7"/>
        <v>7009.8631236826332</v>
      </c>
      <c r="W13" s="21">
        <v>3.69431365447302</v>
      </c>
      <c r="X13" s="21"/>
      <c r="Y13" s="21"/>
      <c r="Z13" s="21">
        <f t="shared" si="8"/>
        <v>3.8588319934984128</v>
      </c>
      <c r="AA13" s="21">
        <f t="shared" si="9"/>
        <v>5.6479476007421203</v>
      </c>
      <c r="AB13" s="21">
        <f t="shared" si="14"/>
        <v>-1.7891156072437076</v>
      </c>
      <c r="AC13" s="21"/>
      <c r="AD13" s="21">
        <f t="shared" si="10"/>
        <v>11.425973518310805</v>
      </c>
      <c r="AE13" s="21">
        <f t="shared" si="11"/>
        <v>29.595169773612717</v>
      </c>
      <c r="AF13" s="21">
        <f t="shared" si="15"/>
        <v>-18.169196255301912</v>
      </c>
      <c r="AG13" s="21"/>
      <c r="AH13" s="21">
        <f t="shared" si="12"/>
        <v>18.847501984041127</v>
      </c>
      <c r="AI13" s="21">
        <f t="shared" si="13"/>
        <v>38.805813846586744</v>
      </c>
      <c r="AJ13" s="21">
        <f t="shared" si="16"/>
        <v>-19.958311862545617</v>
      </c>
      <c r="AK13" s="21"/>
    </row>
    <row r="14" spans="1:42">
      <c r="A14" s="23">
        <v>1980</v>
      </c>
      <c r="B14" s="23">
        <f>'NFA in dollar'!K12</f>
        <v>158566.45495973728</v>
      </c>
      <c r="C14" s="23">
        <f>'NFA in dollar'!L12</f>
        <v>147130</v>
      </c>
      <c r="D14" s="23">
        <v>202.99999999900001</v>
      </c>
      <c r="E14" s="23">
        <f t="shared" si="0"/>
        <v>32188.990356668102</v>
      </c>
      <c r="F14" s="23">
        <f t="shared" si="1"/>
        <v>29867.389999852872</v>
      </c>
      <c r="H14" s="23">
        <v>11115</v>
      </c>
      <c r="I14" s="23">
        <v>10261</v>
      </c>
      <c r="J14" s="23">
        <v>226.74083333283301</v>
      </c>
      <c r="K14" s="23">
        <f t="shared" si="2"/>
        <v>2520.224362494439</v>
      </c>
      <c r="L14" s="23">
        <f t="shared" si="3"/>
        <v>2326.5876908281994</v>
      </c>
      <c r="N14" s="23">
        <v>6985.7435333209296</v>
      </c>
      <c r="O14" s="23">
        <v>10269.8490333103</v>
      </c>
      <c r="Q14" s="23">
        <f t="shared" si="4"/>
        <v>-6780.9476087053526</v>
      </c>
      <c r="R14" s="23">
        <f t="shared" si="5"/>
        <v>-5786.8037408380987</v>
      </c>
      <c r="T14" s="23">
        <f t="shared" si="6"/>
        <v>-4260.7232462109132</v>
      </c>
      <c r="U14" s="23">
        <f t="shared" si="7"/>
        <v>-3460.2160500098994</v>
      </c>
      <c r="W14" s="21">
        <v>7.8123180812667803</v>
      </c>
      <c r="X14" s="21"/>
      <c r="Y14" s="21"/>
      <c r="Z14" s="21">
        <f t="shared" si="8"/>
        <v>6.2400078981461604E-2</v>
      </c>
      <c r="AA14" s="21">
        <f t="shared" si="9"/>
        <v>1.2550746733237972</v>
      </c>
      <c r="AB14" s="21">
        <f t="shared" si="14"/>
        <v>-1.1926745943423356</v>
      </c>
      <c r="AC14" s="21"/>
      <c r="AD14" s="21">
        <f t="shared" si="10"/>
        <v>-26.910886923107913</v>
      </c>
      <c r="AE14" s="21">
        <f t="shared" si="11"/>
        <v>-28.391060774661959</v>
      </c>
      <c r="AF14" s="21">
        <f t="shared" si="15"/>
        <v>1.4801738515540457</v>
      </c>
      <c r="AG14" s="21"/>
      <c r="AH14" s="21">
        <f t="shared" si="12"/>
        <v>-19.602266541750591</v>
      </c>
      <c r="AI14" s="21">
        <f t="shared" si="13"/>
        <v>-19.889765798962323</v>
      </c>
      <c r="AJ14" s="21">
        <f t="shared" si="16"/>
        <v>0.28749925721173142</v>
      </c>
      <c r="AK14" s="21"/>
      <c r="AM14" s="21" t="s">
        <v>517</v>
      </c>
    </row>
    <row r="15" spans="1:42">
      <c r="A15" s="23">
        <v>1981</v>
      </c>
      <c r="B15" s="23">
        <f>'NFA in dollar'!K13</f>
        <v>209118.41741153831</v>
      </c>
      <c r="C15" s="23">
        <f>'NFA in dollar'!L13</f>
        <v>197300.0001</v>
      </c>
      <c r="D15" s="23">
        <v>219.89999999899999</v>
      </c>
      <c r="E15" s="23">
        <f t="shared" si="0"/>
        <v>45985.139988588155</v>
      </c>
      <c r="F15" s="23">
        <f t="shared" si="1"/>
        <v>43386.270021792698</v>
      </c>
      <c r="H15" s="23">
        <v>15761</v>
      </c>
      <c r="I15" s="23">
        <v>16524</v>
      </c>
      <c r="J15" s="23">
        <v>220.53583333275</v>
      </c>
      <c r="K15" s="23">
        <f t="shared" si="2"/>
        <v>3475.865269157473</v>
      </c>
      <c r="L15" s="23">
        <f t="shared" si="3"/>
        <v>3644.1341099903611</v>
      </c>
      <c r="N15" s="23">
        <v>9437.2897999631004</v>
      </c>
      <c r="O15" s="23">
        <v>8195.6108999698608</v>
      </c>
      <c r="Q15" s="23">
        <f t="shared" si="4"/>
        <v>4358.8598319569519</v>
      </c>
      <c r="R15" s="23">
        <f t="shared" si="5"/>
        <v>5323.2691219699645</v>
      </c>
      <c r="T15" s="23">
        <f t="shared" si="6"/>
        <v>7834.7251011144253</v>
      </c>
      <c r="U15" s="23">
        <f t="shared" si="7"/>
        <v>8967.4032319603248</v>
      </c>
      <c r="W15" s="21">
        <v>4.9136069114470002</v>
      </c>
      <c r="X15" s="21"/>
      <c r="Y15" s="21"/>
      <c r="Z15" s="21">
        <f t="shared" si="8"/>
        <v>5.6090892255968861</v>
      </c>
      <c r="AA15" s="21">
        <f t="shared" si="9"/>
        <v>6.9461337715709837</v>
      </c>
      <c r="AB15" s="21">
        <f t="shared" si="14"/>
        <v>-1.3370445459740976</v>
      </c>
      <c r="AC15" s="21"/>
      <c r="AD15" s="21">
        <f t="shared" si="10"/>
        <v>8.2237711002903993</v>
      </c>
      <c r="AE15" s="21">
        <f t="shared" si="11"/>
        <v>12.304797764980702</v>
      </c>
      <c r="AF15" s="21">
        <f t="shared" si="15"/>
        <v>-4.0810266646903024</v>
      </c>
      <c r="AG15" s="21"/>
      <c r="AH15" s="21">
        <f t="shared" si="12"/>
        <v>18.516339481831622</v>
      </c>
      <c r="AI15" s="21">
        <f t="shared" si="13"/>
        <v>23.934410692496023</v>
      </c>
      <c r="AJ15" s="21">
        <f t="shared" si="16"/>
        <v>-5.4180712106644009</v>
      </c>
      <c r="AK15" s="21"/>
    </row>
    <row r="16" spans="1:42">
      <c r="A16" s="23">
        <v>1982</v>
      </c>
      <c r="B16" s="23">
        <f>'NFA in dollar'!K14</f>
        <v>227663.9667854046</v>
      </c>
      <c r="C16" s="23">
        <f>'NFA in dollar'!L14</f>
        <v>202029.99900000001</v>
      </c>
      <c r="D16" s="23">
        <v>234.99999999900001</v>
      </c>
      <c r="E16" s="23">
        <f t="shared" si="0"/>
        <v>53501.032194342421</v>
      </c>
      <c r="F16" s="23">
        <f t="shared" si="1"/>
        <v>47477.049764797979</v>
      </c>
      <c r="H16" s="23">
        <v>18320</v>
      </c>
      <c r="I16" s="23">
        <v>16602</v>
      </c>
      <c r="J16" s="23">
        <v>249.07666666583299</v>
      </c>
      <c r="K16" s="23">
        <f t="shared" si="2"/>
        <v>4563.0845333180605</v>
      </c>
      <c r="L16" s="23">
        <f t="shared" si="3"/>
        <v>4135.1708199861596</v>
      </c>
      <c r="N16" s="23">
        <v>5889.4590999823904</v>
      </c>
      <c r="O16" s="23">
        <v>2979.9444999912198</v>
      </c>
      <c r="Q16" s="23">
        <f t="shared" si="4"/>
        <v>1626.4331057718755</v>
      </c>
      <c r="R16" s="23">
        <f t="shared" si="5"/>
        <v>1110.8352430140617</v>
      </c>
      <c r="T16" s="23">
        <f t="shared" si="6"/>
        <v>6189.517639089936</v>
      </c>
      <c r="U16" s="23">
        <f t="shared" si="7"/>
        <v>5246.0060630002208</v>
      </c>
      <c r="W16" s="21">
        <v>2.7174472465259898</v>
      </c>
      <c r="X16" s="21"/>
      <c r="Y16" s="21"/>
      <c r="Z16" s="21">
        <f t="shared" si="8"/>
        <v>7.0148815807926646</v>
      </c>
      <c r="AA16" s="21">
        <f t="shared" si="9"/>
        <v>6.6333534718659326</v>
      </c>
      <c r="AB16" s="21">
        <f t="shared" si="14"/>
        <v>0.38152810892673195</v>
      </c>
      <c r="AC16" s="21"/>
      <c r="AD16" s="21">
        <f t="shared" si="10"/>
        <v>0.79774126112175381</v>
      </c>
      <c r="AE16" s="21">
        <f t="shared" si="11"/>
        <v>-0.15295264352610527</v>
      </c>
      <c r="AF16" s="21">
        <f t="shared" si="15"/>
        <v>0.95069390464785908</v>
      </c>
      <c r="AG16" s="21"/>
      <c r="AH16" s="21">
        <f t="shared" si="12"/>
        <v>10.458178508814919</v>
      </c>
      <c r="AI16" s="21">
        <f t="shared" si="13"/>
        <v>9.1259564952403061</v>
      </c>
      <c r="AJ16" s="21">
        <f t="shared" si="16"/>
        <v>1.3322220135746132</v>
      </c>
      <c r="AK16" s="21"/>
    </row>
    <row r="17" spans="1:37">
      <c r="A17" s="23">
        <v>1983</v>
      </c>
      <c r="B17" s="23">
        <f>'NFA in dollar'!K15</f>
        <v>271001.57486615179</v>
      </c>
      <c r="C17" s="23">
        <f>'NFA in dollar'!L15</f>
        <v>233759.9981</v>
      </c>
      <c r="D17" s="23">
        <v>232.199999999</v>
      </c>
      <c r="E17" s="23">
        <f t="shared" si="0"/>
        <v>62926.565683649445</v>
      </c>
      <c r="F17" s="23">
        <f t="shared" si="1"/>
        <v>54279.071558586242</v>
      </c>
      <c r="H17" s="23">
        <v>15601</v>
      </c>
      <c r="I17" s="23">
        <v>12519</v>
      </c>
      <c r="J17" s="23">
        <v>237.51166666608299</v>
      </c>
      <c r="K17" s="23">
        <f t="shared" si="2"/>
        <v>3705.4195116575606</v>
      </c>
      <c r="L17" s="23">
        <f t="shared" si="3"/>
        <v>2973.4085549926931</v>
      </c>
      <c r="N17" s="23">
        <v>10914.622999977801</v>
      </c>
      <c r="O17" s="23">
        <v>5463.1833999894097</v>
      </c>
      <c r="Q17" s="23">
        <f t="shared" si="4"/>
        <v>-1489.0895106707758</v>
      </c>
      <c r="R17" s="23">
        <f t="shared" si="5"/>
        <v>1338.8383937988528</v>
      </c>
      <c r="T17" s="23">
        <f t="shared" si="6"/>
        <v>2216.3300009867849</v>
      </c>
      <c r="U17" s="23">
        <f t="shared" si="7"/>
        <v>4312.2469487915459</v>
      </c>
      <c r="W17" s="21">
        <v>1.8739352640545901</v>
      </c>
      <c r="X17" s="21"/>
      <c r="Y17" s="21"/>
      <c r="Z17" s="21">
        <f t="shared" si="8"/>
        <v>4.9590200654640482</v>
      </c>
      <c r="AA17" s="21">
        <f t="shared" si="9"/>
        <v>4.3081659476507772</v>
      </c>
      <c r="AB17" s="21">
        <f t="shared" si="14"/>
        <v>0.65085411781327096</v>
      </c>
      <c r="AC17" s="21"/>
      <c r="AD17" s="21">
        <f t="shared" si="10"/>
        <v>-4.5715583998248821</v>
      </c>
      <c r="AE17" s="21">
        <f t="shared" si="11"/>
        <v>0.92863241504850258</v>
      </c>
      <c r="AF17" s="21">
        <f t="shared" si="15"/>
        <v>-5.5001908148733847</v>
      </c>
      <c r="AG17" s="21"/>
      <c r="AH17" s="21">
        <f t="shared" si="12"/>
        <v>2.2269265485823864</v>
      </c>
      <c r="AI17" s="21">
        <f t="shared" si="13"/>
        <v>7.0762632456425001</v>
      </c>
      <c r="AJ17" s="21">
        <f t="shared" si="16"/>
        <v>-4.8493366970601137</v>
      </c>
      <c r="AK17" s="21"/>
    </row>
    <row r="18" spans="1:37">
      <c r="A18" s="23">
        <v>1984</v>
      </c>
      <c r="B18" s="23">
        <f>'NFA in dollar'!K16</f>
        <v>340379.15006840002</v>
      </c>
      <c r="C18" s="23">
        <f>'NFA in dollar'!L16</f>
        <v>265989.99900000001</v>
      </c>
      <c r="D18" s="23">
        <v>251.1</v>
      </c>
      <c r="E18" s="23">
        <f t="shared" si="0"/>
        <v>85469.20458217524</v>
      </c>
      <c r="F18" s="23">
        <f t="shared" si="1"/>
        <v>66790.088748900002</v>
      </c>
      <c r="H18" s="23">
        <v>18768</v>
      </c>
      <c r="I18" s="23">
        <v>14537</v>
      </c>
      <c r="J18" s="23">
        <v>237.52249999933301</v>
      </c>
      <c r="K18" s="23">
        <f t="shared" si="2"/>
        <v>4457.8222799874811</v>
      </c>
      <c r="L18" s="23">
        <f t="shared" si="3"/>
        <v>3452.8645824903042</v>
      </c>
      <c r="N18" s="23">
        <v>16300.297299944999</v>
      </c>
      <c r="O18" s="23">
        <v>7014.2901999674696</v>
      </c>
      <c r="Q18" s="23">
        <f t="shared" si="4"/>
        <v>6242.3415985807951</v>
      </c>
      <c r="R18" s="23">
        <f t="shared" si="5"/>
        <v>5496.7269903462902</v>
      </c>
      <c r="T18" s="23">
        <f t="shared" si="6"/>
        <v>10700.163878568277</v>
      </c>
      <c r="U18" s="23">
        <f t="shared" si="7"/>
        <v>8949.5915728365944</v>
      </c>
      <c r="W18" s="21">
        <v>2.29195357072587</v>
      </c>
      <c r="X18" s="21"/>
      <c r="Y18" s="21"/>
      <c r="Z18" s="21">
        <f t="shared" si="8"/>
        <v>4.6848379732265188</v>
      </c>
      <c r="AA18" s="21">
        <f t="shared" si="9"/>
        <v>3.9781866675310029</v>
      </c>
      <c r="AB18" s="21">
        <f t="shared" si="14"/>
        <v>0.70665130569551593</v>
      </c>
      <c r="AC18" s="21"/>
      <c r="AD18" s="21">
        <f t="shared" si="10"/>
        <v>7.4571732480952946</v>
      </c>
      <c r="AE18" s="21">
        <f t="shared" si="11"/>
        <v>7.6592879984734408</v>
      </c>
      <c r="AF18" s="21">
        <f t="shared" si="15"/>
        <v>-0.20211475037814619</v>
      </c>
      <c r="AG18" s="21"/>
      <c r="AH18" s="21">
        <f t="shared" si="12"/>
        <v>14.382611279019585</v>
      </c>
      <c r="AI18" s="21">
        <f t="shared" si="13"/>
        <v>13.878074723702237</v>
      </c>
      <c r="AJ18" s="21">
        <f t="shared" si="16"/>
        <v>0.50453655531734753</v>
      </c>
      <c r="AK18" s="21"/>
    </row>
    <row r="19" spans="1:37">
      <c r="A19" s="23">
        <v>1985</v>
      </c>
      <c r="B19" s="23">
        <f>'NFA in dollar'!K17</f>
        <v>436768.65366527386</v>
      </c>
      <c r="C19" s="23">
        <f>'NFA in dollar'!L17</f>
        <v>306900.00079999998</v>
      </c>
      <c r="D19" s="23">
        <v>200.5</v>
      </c>
      <c r="E19" s="23">
        <f t="shared" si="0"/>
        <v>87572.115059887408</v>
      </c>
      <c r="F19" s="23">
        <f t="shared" si="1"/>
        <v>61533.450160399996</v>
      </c>
      <c r="H19" s="23">
        <v>22107</v>
      </c>
      <c r="I19" s="23">
        <v>15267</v>
      </c>
      <c r="J19" s="23">
        <v>238.53583333275</v>
      </c>
      <c r="K19" s="23">
        <f t="shared" si="2"/>
        <v>5273.3116674871044</v>
      </c>
      <c r="L19" s="23">
        <f t="shared" si="3"/>
        <v>3641.7265674910941</v>
      </c>
      <c r="N19" s="23">
        <v>15678.3</v>
      </c>
      <c r="O19" s="23">
        <v>2827.1</v>
      </c>
      <c r="Q19" s="23">
        <f t="shared" si="4"/>
        <v>-13575.389522287831</v>
      </c>
      <c r="R19" s="23">
        <f t="shared" si="5"/>
        <v>-8083.7385885000058</v>
      </c>
      <c r="T19" s="23">
        <f t="shared" si="6"/>
        <v>-8302.0778548007256</v>
      </c>
      <c r="U19" s="23">
        <f t="shared" si="7"/>
        <v>-4442.0120210089117</v>
      </c>
      <c r="W19" s="21">
        <v>2.0386575632272699</v>
      </c>
      <c r="X19" s="21"/>
      <c r="Y19" s="21"/>
      <c r="Z19" s="21">
        <f t="shared" si="8"/>
        <v>4.0486427155541183</v>
      </c>
      <c r="AA19" s="21">
        <f t="shared" si="9"/>
        <v>3.3456319343662999</v>
      </c>
      <c r="AB19" s="21">
        <f t="shared" si="14"/>
        <v>0.70301078118781835</v>
      </c>
      <c r="AC19" s="21"/>
      <c r="AD19" s="21">
        <f t="shared" si="10"/>
        <v>-17.563958045386642</v>
      </c>
      <c r="AE19" s="21">
        <f t="shared" si="11"/>
        <v>-13.85931444997437</v>
      </c>
      <c r="AF19" s="21">
        <f t="shared" si="15"/>
        <v>-3.7046435954122714</v>
      </c>
      <c r="AG19" s="21"/>
      <c r="AH19" s="21">
        <f t="shared" si="12"/>
        <v>-11.517388649971949</v>
      </c>
      <c r="AI19" s="21">
        <f t="shared" si="13"/>
        <v>-8.5157558357474965</v>
      </c>
      <c r="AJ19" s="21">
        <f t="shared" si="16"/>
        <v>-3.0016328142244522</v>
      </c>
      <c r="AK19" s="21"/>
    </row>
    <row r="20" spans="1:37">
      <c r="A20" s="23">
        <v>1986</v>
      </c>
      <c r="B20" s="23">
        <f>'NFA in dollar'!K18</f>
        <v>726276.60239760007</v>
      </c>
      <c r="C20" s="23">
        <f>'NFA in dollar'!L18</f>
        <v>545870.00219999999</v>
      </c>
      <c r="D20" s="23">
        <v>159.1</v>
      </c>
      <c r="E20" s="23">
        <f t="shared" si="0"/>
        <v>115550.60744145817</v>
      </c>
      <c r="F20" s="23">
        <f t="shared" si="1"/>
        <v>86847.917350019998</v>
      </c>
      <c r="H20" s="23">
        <v>29086</v>
      </c>
      <c r="I20" s="23">
        <v>19613</v>
      </c>
      <c r="J20" s="23">
        <v>168.519833333083</v>
      </c>
      <c r="K20" s="23">
        <f t="shared" si="2"/>
        <v>4901.5678723260517</v>
      </c>
      <c r="L20" s="23">
        <f t="shared" si="3"/>
        <v>3305.1794911617567</v>
      </c>
      <c r="N20" s="23">
        <v>22556.400000000001</v>
      </c>
      <c r="O20" s="23">
        <v>7909</v>
      </c>
      <c r="Q20" s="23">
        <f t="shared" si="4"/>
        <v>5422.0923815707574</v>
      </c>
      <c r="R20" s="23">
        <f t="shared" si="5"/>
        <v>17405.467189620002</v>
      </c>
      <c r="T20" s="23">
        <f t="shared" si="6"/>
        <v>10323.660253896809</v>
      </c>
      <c r="U20" s="23">
        <f t="shared" si="7"/>
        <v>20710.64668078176</v>
      </c>
      <c r="W20" s="21">
        <v>0.60314767693899296</v>
      </c>
      <c r="X20" s="21"/>
      <c r="Y20" s="21"/>
      <c r="Z20" s="21">
        <f t="shared" si="8"/>
        <v>4.9640903428726402</v>
      </c>
      <c r="AA20" s="21">
        <f t="shared" si="9"/>
        <v>4.7396195068954539</v>
      </c>
      <c r="AB20" s="21">
        <f t="shared" si="14"/>
        <v>0.22447083597718631</v>
      </c>
      <c r="AC20" s="21"/>
      <c r="AD20" s="21">
        <f t="shared" si="10"/>
        <v>5.5549220247262721</v>
      </c>
      <c r="AE20" s="21">
        <f t="shared" si="11"/>
        <v>27.517071411891148</v>
      </c>
      <c r="AF20" s="21">
        <f t="shared" si="15"/>
        <v>-21.962149387164878</v>
      </c>
      <c r="AG20" s="21"/>
      <c r="AH20" s="21">
        <f t="shared" si="12"/>
        <v>11.118543983523921</v>
      </c>
      <c r="AI20" s="21">
        <f t="shared" si="13"/>
        <v>32.856222534711613</v>
      </c>
      <c r="AJ20" s="21">
        <f t="shared" si="16"/>
        <v>-21.737678551187692</v>
      </c>
      <c r="AK20" s="21"/>
    </row>
    <row r="21" spans="1:37">
      <c r="A21" s="23">
        <v>1987</v>
      </c>
      <c r="B21" s="23">
        <f>'NFA in dollar'!K19</f>
        <v>1070422.8731044</v>
      </c>
      <c r="C21" s="23">
        <f>'NFA in dollar'!L19</f>
        <v>829630.00349999999</v>
      </c>
      <c r="D21" s="23">
        <v>123.5</v>
      </c>
      <c r="E21" s="23">
        <f t="shared" si="0"/>
        <v>132197.2248283934</v>
      </c>
      <c r="F21" s="23">
        <f t="shared" si="1"/>
        <v>102459.30543225</v>
      </c>
      <c r="H21" s="23">
        <v>49245</v>
      </c>
      <c r="I21" s="23">
        <v>32575</v>
      </c>
      <c r="J21" s="23">
        <v>144.63749999999999</v>
      </c>
      <c r="K21" s="23">
        <f t="shared" si="2"/>
        <v>7122.6736874999988</v>
      </c>
      <c r="L21" s="23">
        <f t="shared" si="3"/>
        <v>4711.5665625000001</v>
      </c>
      <c r="N21" s="23">
        <v>22485.3</v>
      </c>
      <c r="O21" s="23">
        <v>10898.3</v>
      </c>
      <c r="Q21" s="23">
        <f t="shared" si="4"/>
        <v>-5838.6826130647642</v>
      </c>
      <c r="R21" s="23">
        <f t="shared" si="5"/>
        <v>4713.0880822299987</v>
      </c>
      <c r="T21" s="23">
        <f t="shared" si="6"/>
        <v>1283.9910744352346</v>
      </c>
      <c r="U21" s="23">
        <f t="shared" si="7"/>
        <v>9424.6546447299988</v>
      </c>
      <c r="W21" s="21">
        <v>0.14051522248242801</v>
      </c>
      <c r="X21" s="21"/>
      <c r="Y21" s="21"/>
      <c r="Z21" s="21">
        <f t="shared" si="8"/>
        <v>6.0151487562268846</v>
      </c>
      <c r="AA21" s="21">
        <f t="shared" si="9"/>
        <v>5.2771467825944329</v>
      </c>
      <c r="AB21" s="21">
        <f t="shared" si="14"/>
        <v>0.73800197363245168</v>
      </c>
      <c r="AC21" s="21"/>
      <c r="AD21" s="21">
        <f t="shared" si="10"/>
        <v>-5.186150366459275</v>
      </c>
      <c r="AE21" s="21">
        <f t="shared" si="11"/>
        <v>5.2788962600827327</v>
      </c>
      <c r="AF21" s="21">
        <f t="shared" si="15"/>
        <v>-10.465046626542009</v>
      </c>
      <c r="AG21" s="21"/>
      <c r="AH21" s="21">
        <f t="shared" si="12"/>
        <v>0.96931644402391548</v>
      </c>
      <c r="AI21" s="21">
        <f t="shared" si="13"/>
        <v>10.69636109693346</v>
      </c>
      <c r="AJ21" s="21">
        <f t="shared" si="16"/>
        <v>-9.7270446529095445</v>
      </c>
      <c r="AK21" s="21"/>
    </row>
    <row r="22" spans="1:37">
      <c r="A22" s="23">
        <v>1988</v>
      </c>
      <c r="B22" s="23">
        <f>'NFA in dollar'!K20</f>
        <v>1468208.187771</v>
      </c>
      <c r="C22" s="23">
        <f>'NFA in dollar'!L20</f>
        <v>1176410</v>
      </c>
      <c r="D22" s="23">
        <v>125.85</v>
      </c>
      <c r="E22" s="23">
        <f t="shared" si="0"/>
        <v>184774.00043098032</v>
      </c>
      <c r="F22" s="23">
        <f t="shared" si="1"/>
        <v>148051.1985</v>
      </c>
      <c r="H22" s="23">
        <v>74837</v>
      </c>
      <c r="I22" s="23">
        <v>53805</v>
      </c>
      <c r="J22" s="23">
        <v>128.15166666666701</v>
      </c>
      <c r="K22" s="23">
        <f t="shared" si="2"/>
        <v>9590.4862783333592</v>
      </c>
      <c r="L22" s="23">
        <f t="shared" si="3"/>
        <v>6895.2004250000182</v>
      </c>
      <c r="N22" s="23">
        <v>19277.8</v>
      </c>
      <c r="O22" s="23">
        <v>8939.9</v>
      </c>
      <c r="Q22" s="23">
        <f t="shared" si="4"/>
        <v>33298.975602586914</v>
      </c>
      <c r="R22" s="23">
        <f t="shared" si="5"/>
        <v>36651.993067750002</v>
      </c>
      <c r="T22" s="23">
        <f t="shared" si="6"/>
        <v>42889.461880920273</v>
      </c>
      <c r="U22" s="23">
        <f t="shared" si="7"/>
        <v>43547.193492750019</v>
      </c>
      <c r="W22" s="21">
        <v>0.66417212347992804</v>
      </c>
      <c r="X22" s="21"/>
      <c r="Y22" s="21"/>
      <c r="Z22" s="21">
        <f t="shared" si="8"/>
        <v>6.5470248528226582</v>
      </c>
      <c r="AA22" s="21">
        <f t="shared" si="9"/>
        <v>6.0255047836476949</v>
      </c>
      <c r="AB22" s="21">
        <f t="shared" si="14"/>
        <v>0.5215200691749633</v>
      </c>
      <c r="AC22" s="21"/>
      <c r="AD22" s="21">
        <f t="shared" si="10"/>
        <v>24.362877732715017</v>
      </c>
      <c r="AE22" s="21">
        <f t="shared" si="11"/>
        <v>34.876432653125455</v>
      </c>
      <c r="AF22" s="21">
        <f t="shared" si="15"/>
        <v>-10.513554920410439</v>
      </c>
      <c r="AG22" s="21"/>
      <c r="AH22" s="21">
        <f t="shared" si="12"/>
        <v>31.569692567881358</v>
      </c>
      <c r="AI22" s="21">
        <f t="shared" si="13"/>
        <v>41.561727419116835</v>
      </c>
      <c r="AJ22" s="21">
        <f t="shared" si="16"/>
        <v>-9.9920348512354771</v>
      </c>
      <c r="AK22" s="21"/>
    </row>
    <row r="23" spans="1:37">
      <c r="A23" s="23">
        <v>1989</v>
      </c>
      <c r="B23" s="23">
        <f>'NFA in dollar'!K21</f>
        <v>1769897.3507431999</v>
      </c>
      <c r="C23" s="23">
        <f>'NFA in dollar'!L21</f>
        <v>1476619.9997999999</v>
      </c>
      <c r="D23" s="23">
        <v>143.44999999999999</v>
      </c>
      <c r="E23" s="23">
        <f t="shared" si="0"/>
        <v>253891.774964112</v>
      </c>
      <c r="F23" s="23">
        <f t="shared" si="1"/>
        <v>211821.13897130996</v>
      </c>
      <c r="H23" s="23">
        <v>101785</v>
      </c>
      <c r="I23" s="23">
        <v>78343</v>
      </c>
      <c r="J23" s="23">
        <v>137.96441666666701</v>
      </c>
      <c r="K23" s="23">
        <f t="shared" si="2"/>
        <v>14042.708150416702</v>
      </c>
      <c r="L23" s="23">
        <f t="shared" si="3"/>
        <v>10808.546294916694</v>
      </c>
      <c r="N23" s="23">
        <v>20489.3</v>
      </c>
      <c r="O23" s="23">
        <v>15060.3</v>
      </c>
      <c r="Q23" s="23">
        <f t="shared" si="4"/>
        <v>48628.474533131681</v>
      </c>
      <c r="R23" s="23">
        <f t="shared" si="5"/>
        <v>48709.640471309962</v>
      </c>
      <c r="T23" s="23">
        <f t="shared" si="6"/>
        <v>62671.182683548381</v>
      </c>
      <c r="U23" s="23">
        <f t="shared" si="7"/>
        <v>59518.18676622666</v>
      </c>
      <c r="W23" s="21">
        <v>2.2767400799182602</v>
      </c>
      <c r="X23" s="21"/>
      <c r="Y23" s="21"/>
      <c r="Z23" s="21">
        <f t="shared" si="8"/>
        <v>5.2046997198052836</v>
      </c>
      <c r="AA23" s="21">
        <f t="shared" si="9"/>
        <v>4.9119733544909616</v>
      </c>
      <c r="AB23" s="21">
        <f t="shared" si="14"/>
        <v>0.29272636531432195</v>
      </c>
      <c r="AC23" s="21"/>
      <c r="AD23" s="21">
        <f t="shared" si="10"/>
        <v>23.505903843115682</v>
      </c>
      <c r="AE23" s="21">
        <f t="shared" si="11"/>
        <v>29.942094027749523</v>
      </c>
      <c r="AF23" s="21">
        <f t="shared" si="15"/>
        <v>-6.4361901846338405</v>
      </c>
      <c r="AG23" s="21"/>
      <c r="AH23" s="21">
        <f t="shared" si="12"/>
        <v>30.936662076459086</v>
      </c>
      <c r="AI23" s="21">
        <f t="shared" si="13"/>
        <v>37.080125895778608</v>
      </c>
      <c r="AJ23" s="21">
        <f t="shared" si="16"/>
        <v>-6.1434638193195212</v>
      </c>
      <c r="AK23" s="21"/>
    </row>
    <row r="24" spans="1:37">
      <c r="A24" s="23">
        <v>1990</v>
      </c>
      <c r="B24" s="23">
        <f>'NFA in dollar'!K22</f>
        <v>1856670.5903706001</v>
      </c>
      <c r="C24" s="23">
        <f>'NFA in dollar'!L22</f>
        <v>1528519.9974</v>
      </c>
      <c r="D24" s="23">
        <v>134.4</v>
      </c>
      <c r="E24" s="23">
        <f t="shared" si="0"/>
        <v>249536.52734580866</v>
      </c>
      <c r="F24" s="23">
        <f t="shared" si="1"/>
        <v>205433.08765056002</v>
      </c>
      <c r="H24" s="23">
        <v>122167</v>
      </c>
      <c r="I24" s="23">
        <v>98963</v>
      </c>
      <c r="J24" s="23">
        <v>144.79249999999999</v>
      </c>
      <c r="K24" s="23">
        <f t="shared" si="2"/>
        <v>17688.865347499999</v>
      </c>
      <c r="L24" s="23">
        <f t="shared" si="3"/>
        <v>14329.100177499999</v>
      </c>
      <c r="N24" s="23">
        <v>11429.9</v>
      </c>
      <c r="O24" s="23">
        <v>8085.6</v>
      </c>
      <c r="Q24" s="23">
        <f t="shared" si="4"/>
        <v>-15785.147618303343</v>
      </c>
      <c r="R24" s="23">
        <f t="shared" si="5"/>
        <v>-14473.651320749947</v>
      </c>
      <c r="T24" s="23">
        <f t="shared" si="6"/>
        <v>1903.7177291966564</v>
      </c>
      <c r="U24" s="23">
        <f t="shared" si="7"/>
        <v>-144.55114324994793</v>
      </c>
      <c r="W24" s="21">
        <v>3.0347083409049298</v>
      </c>
      <c r="X24" s="21"/>
      <c r="Y24" s="21"/>
      <c r="Z24" s="21">
        <f t="shared" si="8"/>
        <v>3.8165589972419589</v>
      </c>
      <c r="AA24" s="21">
        <f t="shared" si="9"/>
        <v>3.6201475413826456</v>
      </c>
      <c r="AB24" s="21">
        <f t="shared" si="14"/>
        <v>0.1964114558593133</v>
      </c>
      <c r="AC24" s="21"/>
      <c r="AD24" s="21">
        <f t="shared" si="10"/>
        <v>-8.9794813904357724</v>
      </c>
      <c r="AE24" s="21">
        <f t="shared" si="11"/>
        <v>-9.5770322231833678</v>
      </c>
      <c r="AF24" s="21">
        <f t="shared" si="15"/>
        <v>0.59755083274759535</v>
      </c>
      <c r="AG24" s="21"/>
      <c r="AH24" s="21">
        <f t="shared" si="12"/>
        <v>-2.2175961145342149</v>
      </c>
      <c r="AI24" s="21">
        <f t="shared" si="13"/>
        <v>-3.0115584031411347</v>
      </c>
      <c r="AJ24" s="21">
        <f t="shared" si="16"/>
        <v>0.79396228860691975</v>
      </c>
      <c r="AK24" s="21"/>
    </row>
    <row r="25" spans="1:37">
      <c r="A25" s="23">
        <v>1991</v>
      </c>
      <c r="B25" s="23">
        <f>'NFA in dollar'!K23</f>
        <v>2005298.8311246</v>
      </c>
      <c r="C25" s="23">
        <f>'NFA in dollar'!L23</f>
        <v>1622170</v>
      </c>
      <c r="D25" s="23">
        <v>125.2</v>
      </c>
      <c r="E25" s="23">
        <f t="shared" si="0"/>
        <v>251063.41365679994</v>
      </c>
      <c r="F25" s="23">
        <f t="shared" si="1"/>
        <v>203095.68400000001</v>
      </c>
      <c r="H25" s="23">
        <v>140559</v>
      </c>
      <c r="I25" s="23">
        <v>113835</v>
      </c>
      <c r="J25" s="23">
        <v>134.70666666666699</v>
      </c>
      <c r="K25" s="23">
        <f t="shared" si="2"/>
        <v>18934.234360000046</v>
      </c>
      <c r="L25" s="23">
        <f t="shared" si="3"/>
        <v>15334.333400000038</v>
      </c>
      <c r="N25" s="23">
        <v>10385.5</v>
      </c>
      <c r="O25" s="23">
        <v>2420.4</v>
      </c>
      <c r="Q25" s="23">
        <f t="shared" si="4"/>
        <v>-8858.6136890087218</v>
      </c>
      <c r="R25" s="23">
        <f t="shared" si="5"/>
        <v>-4757.8036505600085</v>
      </c>
      <c r="T25" s="23">
        <f t="shared" si="6"/>
        <v>10075.620670991324</v>
      </c>
      <c r="U25" s="23">
        <f t="shared" si="7"/>
        <v>10576.529749440029</v>
      </c>
      <c r="W25" s="21">
        <v>3.2980599647266602</v>
      </c>
      <c r="X25" s="21"/>
      <c r="Y25" s="21"/>
      <c r="Z25" s="21">
        <f t="shared" si="8"/>
        <v>4.1527407765044044</v>
      </c>
      <c r="AA25" s="21">
        <f t="shared" si="9"/>
        <v>4.033312169133918</v>
      </c>
      <c r="AB25" s="21">
        <f t="shared" si="14"/>
        <v>0.11942860737048644</v>
      </c>
      <c r="AC25" s="21"/>
      <c r="AD25" s="21">
        <f t="shared" si="10"/>
        <v>-6.6294437708811049</v>
      </c>
      <c r="AE25" s="21">
        <f t="shared" si="11"/>
        <v>-5.4348038960858052</v>
      </c>
      <c r="AF25" s="21">
        <f t="shared" si="15"/>
        <v>-1.1946398747952998</v>
      </c>
      <c r="AG25" s="21"/>
      <c r="AH25" s="21">
        <f t="shared" si="12"/>
        <v>0.71605780466719171</v>
      </c>
      <c r="AI25" s="21">
        <f t="shared" si="13"/>
        <v>1.7912690720919944</v>
      </c>
      <c r="AJ25" s="21">
        <f t="shared" si="16"/>
        <v>-1.0752112674248027</v>
      </c>
      <c r="AK25" s="21"/>
    </row>
    <row r="26" spans="1:37">
      <c r="A26" s="23">
        <v>1992</v>
      </c>
      <c r="B26" s="23">
        <f>'NFA in dollar'!K24</f>
        <v>2034072.67</v>
      </c>
      <c r="C26" s="23">
        <f>'NFA in dollar'!L24</f>
        <v>1520390</v>
      </c>
      <c r="D26" s="23">
        <v>124.75</v>
      </c>
      <c r="E26" s="23">
        <f t="shared" si="0"/>
        <v>253750.56558249998</v>
      </c>
      <c r="F26" s="23">
        <f t="shared" si="1"/>
        <v>189668.6525</v>
      </c>
      <c r="H26" s="23">
        <v>142083</v>
      </c>
      <c r="I26" s="23">
        <v>105865</v>
      </c>
      <c r="J26" s="23">
        <v>126.651333333333</v>
      </c>
      <c r="K26" s="23">
        <f t="shared" si="2"/>
        <v>17995.001393999952</v>
      </c>
      <c r="L26" s="23">
        <f t="shared" si="3"/>
        <v>13407.943403333298</v>
      </c>
      <c r="N26" s="23">
        <v>528.79999999999995</v>
      </c>
      <c r="O26" s="23">
        <v>-12298.4</v>
      </c>
      <c r="Q26" s="23">
        <f t="shared" si="4"/>
        <v>2158.3519257000471</v>
      </c>
      <c r="R26" s="23">
        <f t="shared" si="5"/>
        <v>-1128.6315000000122</v>
      </c>
      <c r="T26" s="23">
        <f t="shared" si="6"/>
        <v>20153.3533197</v>
      </c>
      <c r="U26" s="23">
        <f t="shared" si="7"/>
        <v>12279.311903333286</v>
      </c>
      <c r="W26" s="21">
        <v>1.7073587160661901</v>
      </c>
      <c r="X26" s="21"/>
      <c r="Y26" s="21"/>
      <c r="Z26" s="21">
        <f t="shared" si="8"/>
        <v>5.368494264354462</v>
      </c>
      <c r="AA26" s="21">
        <f t="shared" si="9"/>
        <v>4.8122651335486655</v>
      </c>
      <c r="AB26" s="21">
        <f t="shared" si="14"/>
        <v>0.5562291308057965</v>
      </c>
      <c r="AC26" s="21"/>
      <c r="AD26" s="21">
        <f t="shared" si="10"/>
        <v>-0.83344485117958778</v>
      </c>
      <c r="AE26" s="21">
        <f t="shared" si="11"/>
        <v>-2.2250827445238763</v>
      </c>
      <c r="AF26" s="21">
        <f t="shared" si="15"/>
        <v>1.3916378933442886</v>
      </c>
      <c r="AG26" s="21"/>
      <c r="AH26" s="21">
        <f t="shared" si="12"/>
        <v>6.2137467440460892</v>
      </c>
      <c r="AI26" s="21">
        <f t="shared" si="13"/>
        <v>4.2658797198960041</v>
      </c>
      <c r="AJ26" s="21">
        <f t="shared" si="16"/>
        <v>1.9478670241500851</v>
      </c>
      <c r="AK26" s="21"/>
    </row>
    <row r="27" spans="1:37">
      <c r="A27" s="23">
        <v>1993</v>
      </c>
      <c r="B27" s="23">
        <f>'NFA in dollar'!K25</f>
        <v>2179724.33216536</v>
      </c>
      <c r="C27" s="23">
        <f>'NFA in dollar'!L25</f>
        <v>1568839.9990000001</v>
      </c>
      <c r="D27" s="23">
        <v>111.85</v>
      </c>
      <c r="E27" s="23">
        <f t="shared" si="0"/>
        <v>243802.1665526955</v>
      </c>
      <c r="F27" s="23">
        <f t="shared" si="1"/>
        <v>175474.75388815001</v>
      </c>
      <c r="H27" s="23">
        <v>147468</v>
      </c>
      <c r="I27" s="23">
        <v>106059</v>
      </c>
      <c r="J27" s="23">
        <v>111.197785833333</v>
      </c>
      <c r="K27" s="23">
        <f t="shared" si="2"/>
        <v>16398.115081269952</v>
      </c>
      <c r="L27" s="23">
        <f t="shared" si="3"/>
        <v>11793.525967697464</v>
      </c>
      <c r="N27" s="23">
        <v>9666.7000000000007</v>
      </c>
      <c r="O27" s="23">
        <v>-4870</v>
      </c>
      <c r="Q27" s="23">
        <f t="shared" si="4"/>
        <v>-19615.099029804482</v>
      </c>
      <c r="R27" s="23">
        <f t="shared" si="5"/>
        <v>-9323.8986118499888</v>
      </c>
      <c r="T27" s="23">
        <f t="shared" si="6"/>
        <v>-3216.9839485345292</v>
      </c>
      <c r="U27" s="23">
        <f t="shared" si="7"/>
        <v>2469.627355847475</v>
      </c>
      <c r="W27" s="21">
        <v>1.2674164848081599</v>
      </c>
      <c r="X27" s="21"/>
      <c r="Y27" s="21"/>
      <c r="Z27" s="21">
        <f t="shared" si="8"/>
        <v>5.1298637348535125</v>
      </c>
      <c r="AA27" s="21">
        <f t="shared" si="9"/>
        <v>4.8885874007494445</v>
      </c>
      <c r="AB27" s="21">
        <f t="shared" si="14"/>
        <v>0.24127633410406801</v>
      </c>
      <c r="AC27" s="21"/>
      <c r="AD27" s="21">
        <f t="shared" si="10"/>
        <v>-8.8848791202616457</v>
      </c>
      <c r="AE27" s="21">
        <f t="shared" si="11"/>
        <v>-6.1059171287731973</v>
      </c>
      <c r="AF27" s="21">
        <f t="shared" si="15"/>
        <v>-2.7789619914884485</v>
      </c>
      <c r="AG27" s="21"/>
      <c r="AH27" s="21">
        <f t="shared" si="12"/>
        <v>-2.5034613033522168</v>
      </c>
      <c r="AI27" s="21">
        <f t="shared" si="13"/>
        <v>3.4224354032175164E-2</v>
      </c>
      <c r="AJ27" s="21">
        <f t="shared" si="16"/>
        <v>-2.537685657384392</v>
      </c>
      <c r="AK27" s="21"/>
    </row>
    <row r="28" spans="1:37">
      <c r="A28" s="23">
        <v>1994</v>
      </c>
      <c r="B28" s="23">
        <f>'NFA in dollar'!K26</f>
        <v>2422990.10199861</v>
      </c>
      <c r="C28" s="23">
        <f>'NFA in dollar'!L26</f>
        <v>1733920</v>
      </c>
      <c r="D28" s="23">
        <v>99.74</v>
      </c>
      <c r="E28" s="23">
        <f t="shared" si="0"/>
        <v>241669.03277334134</v>
      </c>
      <c r="F28" s="23">
        <f t="shared" si="1"/>
        <v>172941.18079999997</v>
      </c>
      <c r="H28" s="23">
        <v>154464</v>
      </c>
      <c r="I28" s="23">
        <v>113464</v>
      </c>
      <c r="J28" s="23">
        <v>102.207805833333</v>
      </c>
      <c r="K28" s="23">
        <f t="shared" si="2"/>
        <v>15787.426520239947</v>
      </c>
      <c r="L28" s="23">
        <f t="shared" si="3"/>
        <v>11596.906481073296</v>
      </c>
      <c r="N28" s="23">
        <v>17260.509999999998</v>
      </c>
      <c r="O28" s="23">
        <v>5875.2</v>
      </c>
      <c r="Q28" s="23">
        <f t="shared" si="4"/>
        <v>-19393.643779354159</v>
      </c>
      <c r="R28" s="23">
        <f t="shared" si="5"/>
        <v>-8408.7730881500356</v>
      </c>
      <c r="T28" s="23">
        <f t="shared" si="6"/>
        <v>-3606.2172591142116</v>
      </c>
      <c r="U28" s="23">
        <f t="shared" si="7"/>
        <v>3188.1333929232605</v>
      </c>
      <c r="W28" s="21">
        <v>0.68794032324839105</v>
      </c>
      <c r="X28" s="21"/>
      <c r="Y28" s="21"/>
      <c r="Z28" s="21">
        <f t="shared" si="8"/>
        <v>5.7480237686609703</v>
      </c>
      <c r="AA28" s="21">
        <f t="shared" si="9"/>
        <v>5.8804801068010892</v>
      </c>
      <c r="AB28" s="21">
        <f t="shared" si="14"/>
        <v>-0.13245633814011892</v>
      </c>
      <c r="AC28" s="21"/>
      <c r="AD28" s="21">
        <f t="shared" si="10"/>
        <v>-8.5835548366613565</v>
      </c>
      <c r="AE28" s="21">
        <f t="shared" si="11"/>
        <v>-5.4425121276799331</v>
      </c>
      <c r="AF28" s="21">
        <f t="shared" si="15"/>
        <v>-3.1410427089814235</v>
      </c>
      <c r="AG28" s="21"/>
      <c r="AH28" s="21">
        <f t="shared" si="12"/>
        <v>-2.1522910284883623</v>
      </c>
      <c r="AI28" s="21">
        <f t="shared" si="13"/>
        <v>1.1212080186331574</v>
      </c>
      <c r="AJ28" s="21">
        <f t="shared" si="16"/>
        <v>-3.2734990471215197</v>
      </c>
      <c r="AK28" s="21"/>
    </row>
    <row r="29" spans="1:37">
      <c r="A29" s="23">
        <v>1995</v>
      </c>
      <c r="B29" s="23">
        <f>'NFA in dollar'!K27</f>
        <v>2631290.7999290433</v>
      </c>
      <c r="C29" s="23">
        <f>'NFA in dollar'!L27</f>
        <v>1815259.3610263544</v>
      </c>
      <c r="D29" s="23">
        <v>102.83</v>
      </c>
      <c r="E29" s="23">
        <f t="shared" si="0"/>
        <v>270575.63295670354</v>
      </c>
      <c r="F29" s="23">
        <f t="shared" si="1"/>
        <v>186663.12009434003</v>
      </c>
      <c r="H29" s="23">
        <v>179980</v>
      </c>
      <c r="I29" s="23">
        <v>137778</v>
      </c>
      <c r="J29" s="23">
        <v>94.059579166666694</v>
      </c>
      <c r="K29" s="23">
        <f>H29/10</f>
        <v>17998</v>
      </c>
      <c r="L29" s="23">
        <f>I29/10</f>
        <v>13777.8</v>
      </c>
      <c r="N29" s="23">
        <v>25345</v>
      </c>
      <c r="O29" s="23">
        <v>13861.2</v>
      </c>
      <c r="Q29" s="23">
        <f t="shared" si="4"/>
        <v>3561.6001833621995</v>
      </c>
      <c r="R29" s="23">
        <f t="shared" si="5"/>
        <v>-139.26070565994087</v>
      </c>
      <c r="T29" s="23">
        <f t="shared" si="6"/>
        <v>21559.600183362199</v>
      </c>
      <c r="U29" s="23">
        <f t="shared" si="7"/>
        <v>13638.539294340058</v>
      </c>
      <c r="W29" s="21">
        <v>-0.123477115574588</v>
      </c>
      <c r="X29" s="21"/>
      <c r="Y29" s="21"/>
      <c r="Z29" s="21">
        <f t="shared" si="8"/>
        <v>7.5802123032829627</v>
      </c>
      <c r="AA29" s="21">
        <f t="shared" si="9"/>
        <v>8.100233953416037</v>
      </c>
      <c r="AB29" s="21">
        <f t="shared" si="14"/>
        <v>-0.52002165013307433</v>
      </c>
      <c r="AC29" s="21"/>
      <c r="AD29" s="21">
        <f t="shared" si="10"/>
        <v>1.5992029291564736</v>
      </c>
      <c r="AE29" s="21">
        <f t="shared" si="11"/>
        <v>4.3005321490396931E-2</v>
      </c>
      <c r="AF29" s="21">
        <f t="shared" si="15"/>
        <v>1.5561976076660766</v>
      </c>
      <c r="AG29" s="21"/>
      <c r="AH29" s="21">
        <f t="shared" si="12"/>
        <v>9.0557854623908085</v>
      </c>
      <c r="AI29" s="21">
        <f t="shared" si="13"/>
        <v>8.0196095048577831</v>
      </c>
      <c r="AJ29" s="21">
        <f t="shared" si="16"/>
        <v>1.0361759575330254</v>
      </c>
      <c r="AK29" s="21"/>
    </row>
    <row r="30" spans="1:37">
      <c r="A30" s="23">
        <v>1996</v>
      </c>
      <c r="B30" s="23">
        <f>'NFA in dollar'!K28</f>
        <v>2651655.6207438875</v>
      </c>
      <c r="C30" s="23">
        <f>'NFA in dollar'!L28</f>
        <v>1761595.5082413792</v>
      </c>
      <c r="D30" s="23">
        <v>116</v>
      </c>
      <c r="J30" s="23">
        <v>108.779056666667</v>
      </c>
      <c r="N30" s="23">
        <v>6313.79</v>
      </c>
      <c r="O30" s="23">
        <v>-617.36</v>
      </c>
      <c r="Q30" s="23"/>
      <c r="R30" s="23"/>
      <c r="T30" s="23"/>
      <c r="U30" s="23"/>
      <c r="W30" s="21">
        <v>0.131871754719214</v>
      </c>
      <c r="X30" s="21"/>
      <c r="Y30" s="21"/>
      <c r="Z30" s="21">
        <f>yield!O4</f>
        <v>4.3616709541605792</v>
      </c>
      <c r="AA30" s="21">
        <f>yield!T4</f>
        <v>3.2752498709500699</v>
      </c>
      <c r="AB30" s="21">
        <f t="shared" si="14"/>
        <v>1.0864210832105092</v>
      </c>
      <c r="AC30" s="21"/>
      <c r="AD30" s="21">
        <f>'Stock-flow'!H4</f>
        <v>5.1011275286849678</v>
      </c>
      <c r="AE30" s="21">
        <f>'Stock-flow'!I4</f>
        <v>0.40144005153066598</v>
      </c>
      <c r="AF30" s="21">
        <f t="shared" si="15"/>
        <v>4.6996874771543018</v>
      </c>
      <c r="AG30" s="21"/>
      <c r="AH30" s="21">
        <f>Total_return!Z4</f>
        <v>9.5944965649929372</v>
      </c>
      <c r="AI30" s="21">
        <f>Total_return!AE4</f>
        <v>3.8083880046281049</v>
      </c>
      <c r="AJ30" s="21">
        <f t="shared" si="16"/>
        <v>5.7861085603648323</v>
      </c>
      <c r="AK30" s="21"/>
    </row>
    <row r="31" spans="1:37">
      <c r="A31" s="23">
        <v>1997</v>
      </c>
      <c r="B31" s="23">
        <f>'NFA in dollar'!K29</f>
        <v>2736297.7829978303</v>
      </c>
      <c r="C31" s="23">
        <f>'NFA in dollar'!L29</f>
        <v>1778721.2697191227</v>
      </c>
      <c r="D31" s="23">
        <v>129.94999999999999</v>
      </c>
      <c r="J31" s="23">
        <v>120.99086250000001</v>
      </c>
      <c r="N31" s="23">
        <v>22589.9</v>
      </c>
      <c r="O31" s="23">
        <v>7179.45</v>
      </c>
      <c r="Q31" s="23"/>
      <c r="R31" s="23"/>
      <c r="T31" s="23"/>
      <c r="U31" s="23"/>
      <c r="W31" s="21">
        <v>1.7614618487114999</v>
      </c>
      <c r="X31" s="21"/>
      <c r="Y31" s="21"/>
      <c r="Z31" s="21">
        <f>yield!O5</f>
        <v>2.6591543710751564</v>
      </c>
      <c r="AA31" s="21">
        <f>yield!T5</f>
        <v>1.4591109507155586</v>
      </c>
      <c r="AB31" s="21">
        <f t="shared" si="14"/>
        <v>1.2000434203595978</v>
      </c>
      <c r="AC31" s="21"/>
      <c r="AD31" s="21">
        <f>'Stock-flow'!H5</f>
        <v>1.8996272407389991</v>
      </c>
      <c r="AE31" s="21">
        <f>'Stock-flow'!I5</f>
        <v>0.50207138435283127</v>
      </c>
      <c r="AF31" s="21">
        <f t="shared" si="15"/>
        <v>1.3975558563861679</v>
      </c>
      <c r="AG31" s="21"/>
      <c r="AH31" s="21">
        <f>Total_return!Z5</f>
        <v>6.2897530588736261</v>
      </c>
      <c r="AI31" s="21">
        <f>Total_return!AE5</f>
        <v>3.6921537821278605</v>
      </c>
      <c r="AJ31" s="21">
        <f t="shared" si="16"/>
        <v>2.5975992767457656</v>
      </c>
      <c r="AK31" s="21"/>
    </row>
    <row r="32" spans="1:37">
      <c r="A32" s="23">
        <v>1998</v>
      </c>
      <c r="B32" s="23">
        <f>'NFA in dollar'!K30</f>
        <v>2985970.1945660966</v>
      </c>
      <c r="C32" s="23">
        <f>'NFA in dollar'!L30</f>
        <v>1832692.0645674739</v>
      </c>
      <c r="D32" s="23">
        <v>115.6</v>
      </c>
      <c r="J32" s="23">
        <v>130.90530066666699</v>
      </c>
      <c r="N32" s="23">
        <v>-2729.54</v>
      </c>
      <c r="O32" s="23">
        <v>-16881.62</v>
      </c>
      <c r="Q32" s="23"/>
      <c r="R32" s="23"/>
      <c r="T32" s="23"/>
      <c r="U32" s="23"/>
      <c r="W32" s="21">
        <v>0.66326943298518903</v>
      </c>
      <c r="X32" s="21"/>
      <c r="Y32" s="21"/>
      <c r="Z32" s="21">
        <f>yield!O6</f>
        <v>3.1026416873354057</v>
      </c>
      <c r="AA32" s="21">
        <f>yield!T6</f>
        <v>2.0140070831659918</v>
      </c>
      <c r="AB32" s="21">
        <f t="shared" si="14"/>
        <v>1.0886346041694139</v>
      </c>
      <c r="AC32" s="21"/>
      <c r="AD32" s="21">
        <f>'Stock-flow'!H6</f>
        <v>-6.0796455180212039</v>
      </c>
      <c r="AE32" s="21">
        <f>'Stock-flow'!I6</f>
        <v>-6.6196344179058064</v>
      </c>
      <c r="AF32" s="21">
        <f t="shared" si="15"/>
        <v>0.53998889988460252</v>
      </c>
      <c r="AG32" s="21"/>
      <c r="AH32" s="21">
        <f>Total_return!Z6</f>
        <v>-2.3181046743984579</v>
      </c>
      <c r="AI32" s="21">
        <f>Total_return!AE6</f>
        <v>-3.9467281784524744</v>
      </c>
      <c r="AJ32" s="21">
        <f t="shared" si="16"/>
        <v>1.6286235040540165</v>
      </c>
      <c r="AK32" s="21"/>
    </row>
    <row r="33" spans="1:37">
      <c r="A33" s="23">
        <v>1999</v>
      </c>
      <c r="B33" s="23">
        <f>'NFA in dollar'!K31</f>
        <v>3012868.2523662192</v>
      </c>
      <c r="C33" s="23">
        <f>'NFA in dollar'!L31</f>
        <v>2184483.1592544029</v>
      </c>
      <c r="D33" s="23">
        <v>102.2</v>
      </c>
      <c r="J33" s="23">
        <v>113.90680500000001</v>
      </c>
      <c r="N33" s="23">
        <v>-12535.03</v>
      </c>
      <c r="O33" s="23">
        <v>-25696.79</v>
      </c>
      <c r="Q33" s="23"/>
      <c r="R33" s="23"/>
      <c r="T33" s="23"/>
      <c r="U33" s="23"/>
      <c r="W33" s="21">
        <v>-0.32944957814319398</v>
      </c>
      <c r="X33" s="21"/>
      <c r="Y33" s="21"/>
      <c r="Z33" s="21">
        <f>yield!O7</f>
        <v>3.4563253801371596</v>
      </c>
      <c r="AA33" s="21">
        <f>yield!T7</f>
        <v>2.2600993441317607</v>
      </c>
      <c r="AB33" s="21">
        <f t="shared" si="14"/>
        <v>1.1962260360053989</v>
      </c>
      <c r="AC33" s="21"/>
      <c r="AD33" s="21">
        <f>'Stock-flow'!H7</f>
        <v>-8.6223448047169864</v>
      </c>
      <c r="AE33" s="21">
        <f>'Stock-flow'!I7</f>
        <v>15.872901970679653</v>
      </c>
      <c r="AF33" s="21">
        <f t="shared" si="15"/>
        <v>-24.495246775396637</v>
      </c>
      <c r="AG33" s="21"/>
      <c r="AH33" s="21">
        <f>Total_return!Z7</f>
        <v>-5.4965579605353305</v>
      </c>
      <c r="AI33" s="21">
        <f>Total_return!AE7</f>
        <v>17.802462778855933</v>
      </c>
      <c r="AJ33" s="21">
        <f t="shared" si="16"/>
        <v>-23.299020739391263</v>
      </c>
      <c r="AK33" s="21"/>
    </row>
    <row r="34" spans="1:37">
      <c r="A34" s="23">
        <v>2000</v>
      </c>
      <c r="B34" s="23">
        <f>'NFA in dollar'!K32</f>
        <v>2963499.8961482886</v>
      </c>
      <c r="C34" s="23">
        <f>'NFA in dollar'!L32</f>
        <v>1811649.3707745865</v>
      </c>
      <c r="D34" s="23">
        <v>114.9</v>
      </c>
      <c r="J34" s="23">
        <v>107.765498333333</v>
      </c>
      <c r="N34" s="23">
        <v>6712.92</v>
      </c>
      <c r="O34" s="23">
        <v>-6976.74</v>
      </c>
      <c r="Q34" s="23"/>
      <c r="R34" s="23"/>
      <c r="T34" s="23"/>
      <c r="U34" s="23"/>
      <c r="W34" s="21">
        <v>-0.65301515640115204</v>
      </c>
      <c r="X34" s="21"/>
      <c r="Y34" s="21"/>
      <c r="Z34" s="21">
        <f>yield!O8</f>
        <v>4.1247765548774629</v>
      </c>
      <c r="AA34" s="21">
        <f>yield!T8</f>
        <v>2.4709277592950274</v>
      </c>
      <c r="AB34" s="21">
        <f t="shared" si="14"/>
        <v>1.6538487955824355</v>
      </c>
      <c r="AC34" s="21"/>
      <c r="AD34" s="21">
        <f>'Stock-flow'!H8</f>
        <v>7.1110306666586354</v>
      </c>
      <c r="AE34" s="21">
        <f>'Stock-flow'!I8</f>
        <v>-6.6272471582923824</v>
      </c>
      <c r="AF34" s="21">
        <f t="shared" si="15"/>
        <v>13.738277824951018</v>
      </c>
      <c r="AG34" s="21"/>
      <c r="AH34" s="21">
        <f>Total_return!Z8</f>
        <v>10.578499747706683</v>
      </c>
      <c r="AI34" s="21">
        <f>Total_return!AE8</f>
        <v>-4.8136268728267373</v>
      </c>
      <c r="AJ34" s="21">
        <f t="shared" si="16"/>
        <v>15.392126620533421</v>
      </c>
      <c r="AK34" s="21"/>
    </row>
    <row r="35" spans="1:37">
      <c r="A35" s="23">
        <v>2001</v>
      </c>
      <c r="B35" s="23">
        <f>'NFA in dollar'!K33</f>
        <v>2876250.6426383508</v>
      </c>
      <c r="C35" s="23">
        <f>'NFA in dollar'!L33</f>
        <v>1521426.1356752655</v>
      </c>
      <c r="D35" s="23">
        <v>131.80000000000001</v>
      </c>
      <c r="J35" s="23">
        <v>121.5289475</v>
      </c>
      <c r="N35" s="23">
        <v>4593.8999999999996</v>
      </c>
      <c r="O35" s="23">
        <v>-6168.97</v>
      </c>
      <c r="Q35" s="23"/>
      <c r="R35" s="23"/>
      <c r="T35" s="23"/>
      <c r="U35" s="23"/>
      <c r="W35" s="21">
        <v>-0.80337580134707898</v>
      </c>
      <c r="X35" s="21"/>
      <c r="Y35" s="21"/>
      <c r="Z35" s="21">
        <f>yield!O9</f>
        <v>4.5037846263858539</v>
      </c>
      <c r="AA35" s="21">
        <f>yield!T9</f>
        <v>2.7906350974715277</v>
      </c>
      <c r="AB35" s="21">
        <f t="shared" si="14"/>
        <v>1.7131495289143261</v>
      </c>
      <c r="AC35" s="21"/>
      <c r="AD35" s="21">
        <f>'Stock-flow'!H9</f>
        <v>7.1725985167746309</v>
      </c>
      <c r="AE35" s="21">
        <f>'Stock-flow'!I9</f>
        <v>-5.90337005649475</v>
      </c>
      <c r="AF35" s="21">
        <f t="shared" si="15"/>
        <v>13.075968573269382</v>
      </c>
      <c r="AG35" s="21"/>
      <c r="AH35" s="21">
        <f>Total_return!Z9</f>
        <v>10.866500944207601</v>
      </c>
      <c r="AI35" s="21">
        <f>Total_return!AE9</f>
        <v>-3.9226171579761049</v>
      </c>
      <c r="AJ35" s="21">
        <f t="shared" si="16"/>
        <v>14.789118102183707</v>
      </c>
      <c r="AK35" s="21"/>
    </row>
    <row r="36" spans="1:37">
      <c r="A36" s="23">
        <v>2002</v>
      </c>
      <c r="B36" s="23">
        <f>'NFA in dollar'!K34</f>
        <v>3045643.8458649493</v>
      </c>
      <c r="C36" s="23">
        <f>'NFA in dollar'!L34</f>
        <v>1589916.0365205943</v>
      </c>
      <c r="D36" s="23">
        <v>119.9</v>
      </c>
      <c r="J36" s="23">
        <v>125.38801916666699</v>
      </c>
      <c r="N36" s="23">
        <v>5474.9775295558102</v>
      </c>
      <c r="O36" s="23">
        <v>-8377.7908212205402</v>
      </c>
      <c r="Q36" s="23"/>
      <c r="R36" s="23"/>
      <c r="T36" s="23"/>
      <c r="U36" s="23"/>
      <c r="W36" s="21">
        <v>-0.89967826042920995</v>
      </c>
      <c r="X36" s="21"/>
      <c r="Y36" s="21"/>
      <c r="Z36" s="21">
        <f>yield!O10</f>
        <v>3.9566839613399907</v>
      </c>
      <c r="AA36" s="21">
        <f>yield!T10</f>
        <v>2.5146481848125735</v>
      </c>
      <c r="AB36" s="21">
        <f t="shared" si="14"/>
        <v>1.4420357765274172</v>
      </c>
      <c r="AC36" s="21"/>
      <c r="AD36" s="21">
        <f>'Stock-flow'!H10</f>
        <v>-6.8124259430433431</v>
      </c>
      <c r="AE36" s="21">
        <f>'Stock-flow'!I10</f>
        <v>-4.605953204314595</v>
      </c>
      <c r="AF36" s="21">
        <f t="shared" si="15"/>
        <v>-2.2064727387287482</v>
      </c>
      <c r="AG36" s="21"/>
      <c r="AH36" s="21">
        <f>Total_return!Z10</f>
        <v>-3.7635879348108747</v>
      </c>
      <c r="AI36" s="21">
        <f>Total_return!AE10</f>
        <v>-2.9991509726095322</v>
      </c>
      <c r="AJ36" s="21">
        <f t="shared" si="16"/>
        <v>-0.7644369622013425</v>
      </c>
      <c r="AK36" s="21"/>
    </row>
    <row r="37" spans="1:37">
      <c r="A37" s="23">
        <v>2003</v>
      </c>
      <c r="B37" s="23">
        <f>'NFA in dollar'!K35</f>
        <v>3590033.7232547947</v>
      </c>
      <c r="C37" s="23">
        <f>'NFA in dollar'!L35</f>
        <v>1986178.151260504</v>
      </c>
      <c r="D37" s="23">
        <v>107.1</v>
      </c>
      <c r="J37" s="23">
        <v>115.93346416666699</v>
      </c>
      <c r="N37" s="23">
        <v>20248.689999999999</v>
      </c>
      <c r="O37" s="23">
        <v>6921.26</v>
      </c>
      <c r="Q37" s="23"/>
      <c r="R37" s="23"/>
      <c r="T37" s="23"/>
      <c r="U37" s="23"/>
      <c r="W37" s="21">
        <v>-0.247839455387176</v>
      </c>
      <c r="X37" s="21"/>
      <c r="Y37" s="21"/>
      <c r="Z37" s="21">
        <f>yield!O11</f>
        <v>3.2761814841346659</v>
      </c>
      <c r="AA37" s="21">
        <f>yield!T11</f>
        <v>1.6955232753237848</v>
      </c>
      <c r="AB37" s="21">
        <f t="shared" si="14"/>
        <v>1.5806582088108811</v>
      </c>
      <c r="AC37" s="21"/>
      <c r="AD37" s="21">
        <f>'Stock-flow'!H11</f>
        <v>-2.0272156436171418</v>
      </c>
      <c r="AE37" s="21">
        <f>'Stock-flow'!I11</f>
        <v>4.4480256064199475</v>
      </c>
      <c r="AF37" s="21">
        <f t="shared" si="15"/>
        <v>-6.4752412500370893</v>
      </c>
      <c r="AG37" s="21"/>
      <c r="AH37" s="21">
        <f>Total_return!Z11</f>
        <v>1.0005106150526855</v>
      </c>
      <c r="AI37" s="21">
        <f>Total_return!AE11</f>
        <v>5.8950936562788714</v>
      </c>
      <c r="AJ37" s="21">
        <f t="shared" si="16"/>
        <v>-4.8945830412261859</v>
      </c>
      <c r="AK37" s="21"/>
    </row>
    <row r="38" spans="1:37">
      <c r="A38" s="23">
        <v>2004</v>
      </c>
      <c r="B38" s="23">
        <f>'NFA in dollar'!K36</f>
        <v>4158365.3652211051</v>
      </c>
      <c r="C38" s="23">
        <f>'NFA in dollar'!L36</f>
        <v>2382506.4922362184</v>
      </c>
      <c r="D38" s="23">
        <v>104.12</v>
      </c>
      <c r="J38" s="23">
        <v>108.192569166667</v>
      </c>
      <c r="N38" s="23">
        <v>38657.440000000002</v>
      </c>
      <c r="O38" s="23">
        <v>23640.3</v>
      </c>
      <c r="Q38" s="23"/>
      <c r="R38" s="23"/>
      <c r="T38" s="23"/>
      <c r="U38" s="23"/>
      <c r="W38" s="21">
        <v>-8.2754054945362292E-3</v>
      </c>
      <c r="X38" s="21"/>
      <c r="Y38" s="21"/>
      <c r="Z38" s="21">
        <f>yield!O12</f>
        <v>3.1883539622688417</v>
      </c>
      <c r="AA38" s="21">
        <f>yield!T12</f>
        <v>1.4031545568523374</v>
      </c>
      <c r="AB38" s="21">
        <f t="shared" si="14"/>
        <v>1.7851994054165043</v>
      </c>
      <c r="AC38" s="21"/>
      <c r="AD38" s="21">
        <f>'Stock-flow'!H12</f>
        <v>0.91464257174842523</v>
      </c>
      <c r="AE38" s="21">
        <f>'Stock-flow'!I12</f>
        <v>2.5867821516821321</v>
      </c>
      <c r="AF38" s="21">
        <f t="shared" si="15"/>
        <v>-1.6721395799337069</v>
      </c>
      <c r="AG38" s="21"/>
      <c r="AH38" s="21">
        <f>Total_return!Z12</f>
        <v>4.0947204436426965</v>
      </c>
      <c r="AI38" s="21">
        <f>Total_return!AE12</f>
        <v>3.9816606181598768</v>
      </c>
      <c r="AJ38" s="21">
        <f t="shared" si="16"/>
        <v>0.11305982548281968</v>
      </c>
      <c r="AK38" s="21"/>
    </row>
    <row r="39" spans="1:37">
      <c r="A39" s="23">
        <v>2005</v>
      </c>
      <c r="B39" s="23">
        <f>'NFA in dollar'!K37</f>
        <v>4282163.3171660528</v>
      </c>
      <c r="C39" s="23">
        <f>'NFA in dollar'!L37</f>
        <v>2759109.0107654487</v>
      </c>
      <c r="D39" s="23">
        <v>117.97</v>
      </c>
      <c r="J39" s="23">
        <v>110.218211666667</v>
      </c>
      <c r="N39" s="23">
        <v>16006.22</v>
      </c>
      <c r="O39" s="23">
        <v>92.06</v>
      </c>
      <c r="Q39" s="23"/>
      <c r="R39" s="23"/>
      <c r="T39" s="23"/>
      <c r="U39" s="23"/>
      <c r="W39" s="21">
        <v>-0.27311098237193399</v>
      </c>
      <c r="X39" s="21"/>
      <c r="Y39" s="21"/>
      <c r="Z39" s="21">
        <f>yield!O13</f>
        <v>3.87495192789582</v>
      </c>
      <c r="AA39" s="21">
        <f>yield!T13</f>
        <v>1.9490015741846056</v>
      </c>
      <c r="AB39" s="21">
        <f t="shared" si="14"/>
        <v>1.9259503537112144</v>
      </c>
      <c r="AC39" s="21"/>
      <c r="AD39" s="21">
        <f>'Stock-flow'!H13</f>
        <v>6.8378684973322335</v>
      </c>
      <c r="AE39" s="21">
        <f>'Stock-flow'!I13</f>
        <v>19.877462091011687</v>
      </c>
      <c r="AF39" s="21">
        <f t="shared" si="15"/>
        <v>-13.039593593679452</v>
      </c>
      <c r="AG39" s="21"/>
      <c r="AH39" s="21">
        <f>Total_return!Z13</f>
        <v>10.438961504066224</v>
      </c>
      <c r="AI39" s="21">
        <f>Total_return!AE13</f>
        <v>21.552604744034465</v>
      </c>
      <c r="AJ39" s="21">
        <f t="shared" si="16"/>
        <v>-11.113643239968241</v>
      </c>
      <c r="AK39" s="21"/>
    </row>
    <row r="40" spans="1:37">
      <c r="A40" s="23">
        <v>2006</v>
      </c>
      <c r="B40" s="23">
        <f>'NFA in dollar'!K38</f>
        <v>4676825.769478499</v>
      </c>
      <c r="C40" s="23">
        <f>'NFA in dollar'!L38</f>
        <v>2883767.8878449099</v>
      </c>
      <c r="D40" s="23">
        <v>118.95</v>
      </c>
      <c r="J40" s="23">
        <v>116.29931166666699</v>
      </c>
      <c r="N40" s="23">
        <v>11218.8465258255</v>
      </c>
      <c r="O40" s="23">
        <v>-4413.9384549405704</v>
      </c>
      <c r="Q40" s="23"/>
      <c r="R40" s="23"/>
      <c r="T40" s="23"/>
      <c r="U40" s="23"/>
      <c r="W40" s="21">
        <v>0.24066390041427599</v>
      </c>
      <c r="X40" s="21"/>
      <c r="Y40" s="21"/>
      <c r="Z40" s="21">
        <f>yield!O14</f>
        <v>3.593145368298778</v>
      </c>
      <c r="AA40" s="21">
        <f>yield!T14</f>
        <v>1.4713416004574098</v>
      </c>
      <c r="AB40" s="21">
        <f t="shared" si="14"/>
        <v>2.1218037678413681</v>
      </c>
      <c r="AC40" s="21"/>
      <c r="AD40" s="21">
        <f>'Stock-flow'!H14</f>
        <v>4.59684278953012</v>
      </c>
      <c r="AE40" s="21">
        <f>'Stock-flow'!I14</f>
        <v>1.5890105921958941</v>
      </c>
      <c r="AF40" s="21">
        <f t="shared" si="15"/>
        <v>3.0078321973342259</v>
      </c>
      <c r="AG40" s="21"/>
      <c r="AH40" s="21">
        <f>Total_return!Z14</f>
        <v>8.4300742576709489</v>
      </c>
      <c r="AI40" s="21">
        <f>Total_return!AE14</f>
        <v>3.3004382924953557</v>
      </c>
      <c r="AJ40" s="21">
        <f t="shared" si="16"/>
        <v>5.1296359651755932</v>
      </c>
      <c r="AK40" s="21"/>
    </row>
    <row r="41" spans="1:37">
      <c r="A41" s="23">
        <v>2007</v>
      </c>
      <c r="B41" s="23">
        <f>'NFA in dollar'!K39</f>
        <v>5340623.2034819527</v>
      </c>
      <c r="C41" s="23">
        <f>'NFA in dollar'!L39</f>
        <v>3160271.3967648167</v>
      </c>
      <c r="D41" s="23">
        <v>114</v>
      </c>
      <c r="J41" s="23">
        <v>117.75352916666699</v>
      </c>
      <c r="N41" s="23">
        <v>36049.821668632598</v>
      </c>
      <c r="O41" s="23">
        <v>9687.1550645755397</v>
      </c>
      <c r="Q41" s="23"/>
      <c r="R41" s="23"/>
      <c r="T41" s="23"/>
      <c r="U41" s="23"/>
      <c r="W41" s="21">
        <v>5.7951817204070298E-2</v>
      </c>
      <c r="X41" s="21"/>
      <c r="Y41" s="21"/>
      <c r="Z41" s="21">
        <f>yield!O15</f>
        <v>4.1912839255815904</v>
      </c>
      <c r="AA41" s="21">
        <f>yield!T15</f>
        <v>2.0438754716312957</v>
      </c>
      <c r="AB41" s="21">
        <f t="shared" si="14"/>
        <v>2.1474084539502947</v>
      </c>
      <c r="AC41" s="21"/>
      <c r="AD41" s="21">
        <f>'Stock-flow'!H15</f>
        <v>-1.4084085811723712</v>
      </c>
      <c r="AE41" s="21">
        <f>'Stock-flow'!I15</f>
        <v>-4.6609065731340049</v>
      </c>
      <c r="AF41" s="21">
        <f t="shared" si="15"/>
        <v>3.2524979919616337</v>
      </c>
      <c r="AG41" s="21"/>
      <c r="AH41" s="21">
        <f>Total_return!Z15</f>
        <v>2.8407935969334552</v>
      </c>
      <c r="AI41" s="21">
        <f>Total_return!AE15</f>
        <v>-2.559112848978462</v>
      </c>
      <c r="AJ41" s="21">
        <f t="shared" si="16"/>
        <v>5.3999064459119168</v>
      </c>
      <c r="AK41" s="21"/>
    </row>
    <row r="42" spans="1:37">
      <c r="A42" s="23">
        <v>2008</v>
      </c>
      <c r="B42" s="23">
        <f>'NFA in dollar'!K40</f>
        <v>5705739.7779346388</v>
      </c>
      <c r="C42" s="23">
        <f>'NFA in dollar'!L40</f>
        <v>3231634.9906336102</v>
      </c>
      <c r="D42" s="23">
        <v>90.75</v>
      </c>
      <c r="J42" s="23">
        <v>103.359493968254</v>
      </c>
      <c r="N42" s="23">
        <v>-4958.08301520646</v>
      </c>
      <c r="O42" s="23">
        <v>-25989.413982593102</v>
      </c>
      <c r="Q42" s="23"/>
      <c r="R42" s="23"/>
      <c r="T42" s="23"/>
      <c r="U42" s="23"/>
      <c r="W42" s="21">
        <v>1.3734899884159999</v>
      </c>
      <c r="X42" s="21"/>
      <c r="Y42" s="21"/>
      <c r="Z42" s="21">
        <f>yield!O16</f>
        <v>2.266766886874505</v>
      </c>
      <c r="AA42" s="21">
        <f>yield!T16</f>
        <v>0.34554572989728971</v>
      </c>
      <c r="AB42" s="21">
        <f t="shared" si="14"/>
        <v>1.9212211569772153</v>
      </c>
      <c r="AC42" s="21"/>
      <c r="AD42" s="21">
        <f>'Stock-flow'!H16</f>
        <v>-20.441071369775756</v>
      </c>
      <c r="AE42" s="21">
        <f>'Stock-flow'!I16</f>
        <v>-20.69940897890843</v>
      </c>
      <c r="AF42" s="21">
        <f t="shared" si="15"/>
        <v>0.25833760913267412</v>
      </c>
      <c r="AG42" s="21"/>
      <c r="AH42" s="21">
        <f>Total_return!Z16</f>
        <v>-16.819423647119656</v>
      </c>
      <c r="AI42" s="21">
        <f>Total_return!AE16</f>
        <v>-18.998982413229591</v>
      </c>
      <c r="AJ42" s="21">
        <f t="shared" si="16"/>
        <v>2.1795587661099347</v>
      </c>
      <c r="AK42" s="21"/>
    </row>
    <row r="43" spans="1:37">
      <c r="A43" s="23">
        <v>2009</v>
      </c>
      <c r="B43" s="23">
        <f>'NFA in dollar'!K41</f>
        <v>5997787.6457027663</v>
      </c>
      <c r="C43" s="23">
        <f>'NFA in dollar'!L41</f>
        <v>3112953.4300096924</v>
      </c>
      <c r="D43" s="23">
        <v>92.06</v>
      </c>
      <c r="J43" s="23">
        <v>93.570089087045702</v>
      </c>
      <c r="Q43" s="23"/>
      <c r="R43" s="23"/>
      <c r="T43" s="23"/>
      <c r="U43" s="23"/>
      <c r="W43" s="21">
        <v>-1.3467189030362301</v>
      </c>
      <c r="X43" s="21"/>
      <c r="Y43" s="21"/>
      <c r="Z43" s="21">
        <f>yield!O17</f>
        <v>4.7053853383225874</v>
      </c>
      <c r="AA43" s="21">
        <f>yield!T17</f>
        <v>2.8203120656015823</v>
      </c>
      <c r="AB43" s="21">
        <f t="shared" si="14"/>
        <v>1.8850732727210051</v>
      </c>
      <c r="AC43" s="21"/>
      <c r="AD43" s="21">
        <f>'Stock-flow'!H17</f>
        <v>7.8186365378748235</v>
      </c>
      <c r="AE43" s="21">
        <f>'Stock-flow'!I17</f>
        <v>3.9652578314972597</v>
      </c>
      <c r="AF43" s="21">
        <f t="shared" si="15"/>
        <v>3.8533787063775637</v>
      </c>
      <c r="AG43" s="21"/>
      <c r="AH43" s="21">
        <f>Total_return!Z17</f>
        <v>11.158918872970824</v>
      </c>
      <c r="AI43" s="21">
        <f>Total_return!AE17</f>
        <v>5.4204668938722556</v>
      </c>
      <c r="AJ43" s="21">
        <f t="shared" si="16"/>
        <v>5.7384519790985689</v>
      </c>
      <c r="AK43" s="21"/>
    </row>
    <row r="44" spans="1:37">
      <c r="A44" s="23">
        <v>2010</v>
      </c>
      <c r="B44" s="23">
        <f>'NFA in dollar'!K42</f>
        <v>6842766.0742080566</v>
      </c>
      <c r="C44" s="23">
        <f>'NFA in dollar'!L42</f>
        <v>3736121.004788382</v>
      </c>
      <c r="D44" s="23">
        <v>81.45</v>
      </c>
      <c r="J44" s="23">
        <v>87.779875000000004</v>
      </c>
      <c r="Q44" s="23"/>
      <c r="R44" s="23"/>
      <c r="T44" s="23"/>
      <c r="U44" s="23"/>
      <c r="W44" s="21">
        <v>-0.71978158351947696</v>
      </c>
      <c r="X44" s="21"/>
      <c r="Y44" s="21"/>
      <c r="Z44" s="21">
        <f>yield!O18</f>
        <v>3.6404497479907372</v>
      </c>
      <c r="AA44" s="21">
        <f>yield!T18</f>
        <v>1.9839998525052804</v>
      </c>
      <c r="AB44" s="21">
        <f t="shared" si="14"/>
        <v>1.6564498954854567</v>
      </c>
      <c r="AC44" s="21"/>
      <c r="AD44" s="21">
        <f>'Stock-flow'!H18</f>
        <v>-6.2910720605639625</v>
      </c>
      <c r="AE44" s="21">
        <f>'Stock-flow'!I18</f>
        <v>-0.6876115095640678</v>
      </c>
      <c r="AF44" s="21">
        <f t="shared" si="15"/>
        <v>-5.6034605509998947</v>
      </c>
      <c r="AG44" s="21"/>
      <c r="AH44" s="21">
        <f>Total_return!Z18</f>
        <v>-3.3756223125732232</v>
      </c>
      <c r="AI44" s="21">
        <f>Total_return!AE18</f>
        <v>0.57138834294121477</v>
      </c>
      <c r="AJ44" s="21">
        <f t="shared" si="16"/>
        <v>-3.947010655514438</v>
      </c>
      <c r="AK44" s="21"/>
    </row>
    <row r="45" spans="1:37">
      <c r="A45" s="23">
        <v>2011</v>
      </c>
      <c r="B45" s="23">
        <f>'NFA in dollar'!K43</f>
        <v>7446960.9463613601</v>
      </c>
      <c r="C45" s="23">
        <f>'NFA in dollar'!L43</f>
        <v>4066981.4970585206</v>
      </c>
      <c r="D45" s="23">
        <v>77.72</v>
      </c>
      <c r="J45" s="23">
        <v>79.807019832189198</v>
      </c>
      <c r="Q45" s="23"/>
      <c r="R45" s="23"/>
      <c r="T45" s="23"/>
      <c r="U45" s="23"/>
      <c r="W45" s="21">
        <v>-0.28333333333330502</v>
      </c>
      <c r="X45" s="21"/>
      <c r="Y45" s="21"/>
      <c r="Z45" s="21">
        <f>yield!O19</f>
        <v>3.5544078485016284</v>
      </c>
      <c r="AA45" s="21">
        <f>yield!T19</f>
        <v>1.6539526319317766</v>
      </c>
      <c r="AB45" s="21">
        <f t="shared" si="14"/>
        <v>1.9004552165698518</v>
      </c>
      <c r="AC45" s="21"/>
      <c r="AD45" s="21">
        <f>'Stock-flow'!H19</f>
        <v>-2.7763261631693847</v>
      </c>
      <c r="AE45" s="21">
        <f>'Stock-flow'!I19</f>
        <v>-4.0647795271595673</v>
      </c>
      <c r="AF45" s="21">
        <f t="shared" si="15"/>
        <v>1.2884533639901825</v>
      </c>
      <c r="AG45" s="21"/>
      <c r="AH45" s="21">
        <f>Total_return!Z19</f>
        <v>0.49394329322129948</v>
      </c>
      <c r="AI45" s="21">
        <f>Total_return!AE19</f>
        <v>-2.6949652873387464</v>
      </c>
      <c r="AJ45" s="21">
        <f t="shared" si="16"/>
        <v>3.1889085805600459</v>
      </c>
      <c r="AK45" s="21"/>
    </row>
    <row r="46" spans="1:37">
      <c r="A46" s="23">
        <v>2012</v>
      </c>
      <c r="Q46" s="23"/>
      <c r="R46" s="23"/>
      <c r="T46" s="23"/>
      <c r="U46" s="23"/>
      <c r="W46" s="21">
        <v>-3.3428046130775199E-2</v>
      </c>
      <c r="X46" s="21"/>
      <c r="Y46" s="21"/>
      <c r="Z46" s="21">
        <f>yield!O20</f>
        <v>3.2824354785520926</v>
      </c>
      <c r="AA46" s="21">
        <f>yield!T20</f>
        <v>1.4748067529637199</v>
      </c>
      <c r="AB46" s="21">
        <f t="shared" si="14"/>
        <v>1.8076287255883727</v>
      </c>
      <c r="AC46" s="21"/>
      <c r="AD46" s="21">
        <f>'Stock-flow'!H20</f>
        <v>9.0023018139788746</v>
      </c>
      <c r="AE46" s="21">
        <f>'Stock-flow'!I20</f>
        <v>8.4407773855443846</v>
      </c>
      <c r="AF46" s="21">
        <f t="shared" si="15"/>
        <v>0.56152442843449002</v>
      </c>
      <c r="AG46" s="21"/>
      <c r="AH46" s="21">
        <f>Total_return!Z20</f>
        <v>12.25129806832086</v>
      </c>
      <c r="AI46" s="21">
        <f>Total_return!AE20</f>
        <v>9.8821449142980633</v>
      </c>
      <c r="AJ46" s="21">
        <f t="shared" si="16"/>
        <v>2.369153154022797</v>
      </c>
      <c r="AK46" s="21"/>
    </row>
    <row r="47" spans="1:37">
      <c r="A47" s="23">
        <v>2013</v>
      </c>
      <c r="Z47" s="21">
        <f>yield!O21</f>
        <v>2.9256237714564204</v>
      </c>
      <c r="AA47" s="21">
        <f>yield!T21</f>
        <v>1.0749231185072317</v>
      </c>
      <c r="AB47" s="21">
        <f t="shared" si="14"/>
        <v>1.8507006529491887</v>
      </c>
      <c r="AD47" s="21">
        <f>'Stock-flow'!H21</f>
        <v>15.515260153738053</v>
      </c>
      <c r="AE47" s="21">
        <f>'Stock-flow'!I21</f>
        <v>18.750419089114011</v>
      </c>
      <c r="AF47" s="21">
        <f t="shared" si="15"/>
        <v>-3.2351589353759582</v>
      </c>
      <c r="AH47" s="21">
        <f>Total_return!Z21</f>
        <v>18.799068015157339</v>
      </c>
      <c r="AI47" s="21">
        <f>Total_return!AE21</f>
        <v>20.183526297584109</v>
      </c>
      <c r="AJ47" s="21">
        <f t="shared" si="16"/>
        <v>-1.3844582824267704</v>
      </c>
    </row>
  </sheetData>
  <phoneticPr fontId="4"/>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heetViews>
  <sheetFormatPr baseColWidth="12" defaultRowHeight="18" x14ac:dyDescent="0"/>
  <cols>
    <col min="1" max="1" width="12.83203125" style="11"/>
    <col min="2" max="2" width="38.5" style="11" customWidth="1"/>
    <col min="3" max="3" width="17" style="11" customWidth="1"/>
    <col min="4" max="4" width="15.33203125" style="8" customWidth="1"/>
    <col min="5" max="5" width="14.5" style="8" customWidth="1"/>
    <col min="6" max="6" width="18.33203125" style="8" customWidth="1"/>
    <col min="7" max="8" width="12.83203125" style="28" customWidth="1"/>
  </cols>
  <sheetData>
    <row r="1" spans="1:6">
      <c r="A1" s="11" t="s">
        <v>380</v>
      </c>
    </row>
    <row r="3" spans="1:6" ht="31">
      <c r="B3" s="115" t="s">
        <v>295</v>
      </c>
      <c r="C3" s="115" t="s">
        <v>302</v>
      </c>
      <c r="D3" s="116" t="s">
        <v>649</v>
      </c>
      <c r="E3" s="116" t="s">
        <v>650</v>
      </c>
      <c r="F3" s="117" t="s">
        <v>651</v>
      </c>
    </row>
    <row r="4" spans="1:6">
      <c r="D4" s="118"/>
      <c r="E4" s="118"/>
      <c r="F4" s="118"/>
    </row>
    <row r="5" spans="1:6">
      <c r="B5" s="11" t="s">
        <v>481</v>
      </c>
      <c r="C5" s="11" t="s">
        <v>652</v>
      </c>
      <c r="D5" s="118">
        <v>-3.9</v>
      </c>
      <c r="E5" s="118" t="s">
        <v>305</v>
      </c>
      <c r="F5" s="118" t="s">
        <v>305</v>
      </c>
    </row>
    <row r="6" spans="1:6">
      <c r="C6" s="11" t="s">
        <v>653</v>
      </c>
      <c r="D6" s="118">
        <v>13</v>
      </c>
      <c r="E6" s="118" t="s">
        <v>307</v>
      </c>
      <c r="F6" s="118" t="s">
        <v>307</v>
      </c>
    </row>
    <row r="7" spans="1:6">
      <c r="C7" s="11" t="s">
        <v>654</v>
      </c>
      <c r="D7" s="118">
        <v>-3</v>
      </c>
      <c r="E7" s="118" t="s">
        <v>307</v>
      </c>
      <c r="F7" s="118" t="s">
        <v>307</v>
      </c>
    </row>
    <row r="8" spans="1:6">
      <c r="D8" s="118"/>
      <c r="E8" s="118"/>
      <c r="F8" s="118"/>
    </row>
    <row r="9" spans="1:6">
      <c r="B9" s="11" t="s">
        <v>308</v>
      </c>
      <c r="C9" s="11" t="s">
        <v>655</v>
      </c>
      <c r="D9" s="118">
        <f>0.0009*100</f>
        <v>0.09</v>
      </c>
      <c r="E9" s="118">
        <f>0.0112*100</f>
        <v>1.1199999999999999</v>
      </c>
      <c r="F9" s="118">
        <f>D9-E9</f>
        <v>-1.0299999999999998</v>
      </c>
    </row>
    <row r="10" spans="1:6">
      <c r="D10" s="118"/>
      <c r="E10" s="118"/>
      <c r="F10" s="118"/>
    </row>
    <row r="11" spans="1:6">
      <c r="B11" s="11" t="s">
        <v>310</v>
      </c>
      <c r="C11" s="11" t="s">
        <v>311</v>
      </c>
      <c r="D11" s="118">
        <v>-1.8</v>
      </c>
      <c r="E11" s="118">
        <v>0.9</v>
      </c>
      <c r="F11" s="118">
        <v>-2.7</v>
      </c>
    </row>
    <row r="12" spans="1:6">
      <c r="C12" s="11" t="s">
        <v>312</v>
      </c>
      <c r="D12" s="118">
        <v>1</v>
      </c>
      <c r="E12" s="118">
        <v>1.6</v>
      </c>
      <c r="F12" s="118">
        <v>-0.6</v>
      </c>
    </row>
    <row r="13" spans="1:6">
      <c r="C13" s="11" t="s">
        <v>479</v>
      </c>
      <c r="D13" s="118">
        <v>3</v>
      </c>
      <c r="E13" s="118">
        <v>1.8</v>
      </c>
      <c r="F13" s="118">
        <v>1.3</v>
      </c>
    </row>
    <row r="14" spans="1:6">
      <c r="B14" s="119"/>
      <c r="C14" s="119"/>
      <c r="D14" s="120"/>
      <c r="E14" s="120"/>
      <c r="F14" s="120"/>
    </row>
    <row r="15" spans="1:6">
      <c r="B15" s="90"/>
      <c r="C15" s="90"/>
      <c r="D15" s="121"/>
      <c r="E15" s="121"/>
      <c r="F15" s="121"/>
    </row>
    <row r="16" spans="1:6">
      <c r="B16" s="90" t="s">
        <v>519</v>
      </c>
      <c r="C16" s="90"/>
      <c r="D16" s="121"/>
      <c r="E16" s="121"/>
      <c r="F16" s="121"/>
    </row>
    <row r="17" spans="2:2">
      <c r="B17" s="11" t="s">
        <v>487</v>
      </c>
    </row>
    <row r="19" spans="2:2">
      <c r="B19" s="11" t="s">
        <v>489</v>
      </c>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heetViews>
  <sheetFormatPr baseColWidth="12" defaultRowHeight="18" x14ac:dyDescent="0"/>
  <cols>
    <col min="1" max="1" width="12.83203125" style="11"/>
    <col min="2" max="2" width="30.1640625" style="11" customWidth="1"/>
    <col min="3" max="3" width="12.83203125" style="11"/>
    <col min="4" max="5" width="12.83203125" style="8"/>
    <col min="6" max="6" width="18" style="8" customWidth="1"/>
  </cols>
  <sheetData>
    <row r="1" spans="1:6">
      <c r="A1" s="11" t="s">
        <v>381</v>
      </c>
    </row>
    <row r="3" spans="1:6" ht="31">
      <c r="A3" s="115" t="s">
        <v>304</v>
      </c>
      <c r="B3" s="115" t="s">
        <v>295</v>
      </c>
      <c r="C3" s="115" t="s">
        <v>302</v>
      </c>
      <c r="D3" s="116" t="s">
        <v>167</v>
      </c>
      <c r="E3" s="116" t="s">
        <v>303</v>
      </c>
      <c r="F3" s="117" t="s">
        <v>510</v>
      </c>
    </row>
    <row r="4" spans="1:6">
      <c r="D4" s="118"/>
      <c r="E4" s="118"/>
      <c r="F4" s="118"/>
    </row>
    <row r="5" spans="1:6">
      <c r="A5" s="11" t="s">
        <v>306</v>
      </c>
      <c r="B5" s="11" t="s">
        <v>481</v>
      </c>
      <c r="C5" s="11" t="s">
        <v>652</v>
      </c>
      <c r="D5" s="118">
        <f>4.8-5.4</f>
        <v>-0.60000000000000053</v>
      </c>
      <c r="E5" s="118" t="s">
        <v>307</v>
      </c>
      <c r="F5" s="118" t="s">
        <v>307</v>
      </c>
    </row>
    <row r="6" spans="1:6">
      <c r="C6" s="11" t="s">
        <v>653</v>
      </c>
      <c r="D6" s="118">
        <f>1.7-0.4</f>
        <v>1.2999999999999998</v>
      </c>
      <c r="E6" s="118" t="s">
        <v>307</v>
      </c>
      <c r="F6" s="118" t="s">
        <v>307</v>
      </c>
    </row>
    <row r="7" spans="1:6">
      <c r="C7" s="11" t="s">
        <v>656</v>
      </c>
      <c r="D7" s="118">
        <f>0.4-(-0.3)</f>
        <v>0.7</v>
      </c>
      <c r="E7" s="118" t="s">
        <v>307</v>
      </c>
      <c r="F7" s="118" t="s">
        <v>307</v>
      </c>
    </row>
    <row r="8" spans="1:6">
      <c r="D8" s="118"/>
      <c r="E8" s="118"/>
      <c r="F8" s="118"/>
    </row>
    <row r="9" spans="1:6">
      <c r="B9" s="11" t="s">
        <v>308</v>
      </c>
      <c r="C9" s="11" t="s">
        <v>309</v>
      </c>
      <c r="D9" s="118">
        <f>0.0025*100</f>
        <v>0.25</v>
      </c>
      <c r="E9" s="118">
        <f>0.0009*100</f>
        <v>0.09</v>
      </c>
      <c r="F9" s="118">
        <f>D9-E9</f>
        <v>0.16</v>
      </c>
    </row>
    <row r="10" spans="1:6">
      <c r="D10" s="118"/>
      <c r="E10" s="118"/>
      <c r="F10" s="118"/>
    </row>
    <row r="11" spans="1:6">
      <c r="B11" s="11" t="s">
        <v>310</v>
      </c>
      <c r="C11" s="11" t="s">
        <v>311</v>
      </c>
      <c r="D11" s="118">
        <v>0.2</v>
      </c>
      <c r="E11" s="118">
        <v>0.2</v>
      </c>
      <c r="F11" s="118">
        <v>0</v>
      </c>
    </row>
    <row r="12" spans="1:6">
      <c r="C12" s="11" t="s">
        <v>312</v>
      </c>
      <c r="D12" s="118">
        <v>0.3</v>
      </c>
      <c r="E12" s="118">
        <v>0.6</v>
      </c>
      <c r="F12" s="118">
        <v>-0.2</v>
      </c>
    </row>
    <row r="13" spans="1:6">
      <c r="C13" s="11" t="s">
        <v>479</v>
      </c>
      <c r="D13" s="118">
        <v>1.2</v>
      </c>
      <c r="E13" s="118">
        <v>0.7</v>
      </c>
      <c r="F13" s="118">
        <v>0.5</v>
      </c>
    </row>
    <row r="14" spans="1:6">
      <c r="D14" s="118"/>
      <c r="E14" s="118"/>
      <c r="F14" s="118"/>
    </row>
    <row r="15" spans="1:6">
      <c r="A15" s="11" t="s">
        <v>313</v>
      </c>
      <c r="B15" s="11" t="s">
        <v>480</v>
      </c>
      <c r="C15" s="11" t="s">
        <v>653</v>
      </c>
      <c r="D15" s="118">
        <f>0.7-0.6</f>
        <v>9.9999999999999978E-2</v>
      </c>
      <c r="E15" s="118" t="s">
        <v>307</v>
      </c>
      <c r="F15" s="118" t="s">
        <v>307</v>
      </c>
    </row>
    <row r="16" spans="1:6">
      <c r="C16" s="11" t="s">
        <v>656</v>
      </c>
      <c r="D16" s="118">
        <f>-4.2-(-1)</f>
        <v>-3.2</v>
      </c>
      <c r="E16" s="118" t="s">
        <v>307</v>
      </c>
      <c r="F16" s="118" t="s">
        <v>307</v>
      </c>
    </row>
    <row r="17" spans="1:6">
      <c r="D17" s="118"/>
      <c r="E17" s="118"/>
      <c r="F17" s="118"/>
    </row>
    <row r="18" spans="1:6">
      <c r="B18" s="11" t="s">
        <v>310</v>
      </c>
      <c r="C18" s="11" t="s">
        <v>314</v>
      </c>
      <c r="D18" s="118">
        <v>-0.8</v>
      </c>
      <c r="E18" s="118">
        <v>-0.1</v>
      </c>
      <c r="F18" s="118">
        <v>-0.7</v>
      </c>
    </row>
    <row r="19" spans="1:6">
      <c r="D19" s="118"/>
      <c r="E19" s="118"/>
      <c r="F19" s="118"/>
    </row>
    <row r="20" spans="1:6">
      <c r="A20" s="11" t="s">
        <v>315</v>
      </c>
      <c r="B20" s="11" t="s">
        <v>308</v>
      </c>
      <c r="C20" s="11" t="s">
        <v>309</v>
      </c>
      <c r="D20" s="118">
        <f>-0.0062*100</f>
        <v>-0.62</v>
      </c>
      <c r="E20" s="118">
        <f>0.0032*100</f>
        <v>0.32</v>
      </c>
      <c r="F20" s="118">
        <f>D20-E20</f>
        <v>-0.94</v>
      </c>
    </row>
    <row r="21" spans="1:6">
      <c r="D21" s="118"/>
      <c r="E21" s="118"/>
      <c r="F21" s="118"/>
    </row>
    <row r="22" spans="1:6">
      <c r="B22" s="11" t="s">
        <v>310</v>
      </c>
      <c r="C22" s="11" t="s">
        <v>311</v>
      </c>
      <c r="D22" s="118">
        <v>-1.1000000000000001</v>
      </c>
      <c r="E22" s="118">
        <v>-0.3</v>
      </c>
      <c r="F22" s="118">
        <v>-0.8</v>
      </c>
    </row>
    <row r="23" spans="1:6">
      <c r="C23" s="11" t="s">
        <v>312</v>
      </c>
      <c r="D23" s="118">
        <v>-0.1</v>
      </c>
      <c r="E23" s="118">
        <v>-0.2</v>
      </c>
      <c r="F23" s="118">
        <v>0.1</v>
      </c>
    </row>
    <row r="24" spans="1:6">
      <c r="C24" s="11" t="s">
        <v>479</v>
      </c>
      <c r="D24" s="118">
        <v>-0.1</v>
      </c>
      <c r="E24" s="118">
        <v>-0.1</v>
      </c>
      <c r="F24" s="118">
        <v>0</v>
      </c>
    </row>
    <row r="25" spans="1:6">
      <c r="D25" s="118"/>
      <c r="E25" s="118"/>
      <c r="F25" s="118"/>
    </row>
    <row r="26" spans="1:6">
      <c r="A26" s="11" t="s">
        <v>316</v>
      </c>
      <c r="B26" s="11" t="s">
        <v>308</v>
      </c>
      <c r="C26" s="11" t="s">
        <v>309</v>
      </c>
      <c r="D26" s="118">
        <f>0.0019*100</f>
        <v>0.19</v>
      </c>
      <c r="E26" s="118">
        <f>0.008*100</f>
        <v>0.8</v>
      </c>
      <c r="F26" s="118">
        <f>D26-E26</f>
        <v>-0.6100000000000001</v>
      </c>
    </row>
    <row r="27" spans="1:6">
      <c r="D27" s="118"/>
      <c r="E27" s="118"/>
      <c r="F27" s="118"/>
    </row>
    <row r="28" spans="1:6">
      <c r="A28" s="11" t="s">
        <v>317</v>
      </c>
      <c r="B28" s="11" t="s">
        <v>308</v>
      </c>
      <c r="C28" s="11" t="s">
        <v>309</v>
      </c>
      <c r="D28" s="118">
        <f>-0.0034*100</f>
        <v>-0.33999999999999997</v>
      </c>
      <c r="E28" s="118">
        <f>-0.0052*100</f>
        <v>-0.52</v>
      </c>
      <c r="F28" s="118">
        <f>D28-E28</f>
        <v>0.18000000000000005</v>
      </c>
    </row>
    <row r="29" spans="1:6">
      <c r="D29" s="118"/>
      <c r="E29" s="118"/>
      <c r="F29" s="118"/>
    </row>
    <row r="30" spans="1:6">
      <c r="A30" s="11" t="s">
        <v>318</v>
      </c>
      <c r="B30" s="11" t="s">
        <v>308</v>
      </c>
      <c r="C30" s="11" t="s">
        <v>309</v>
      </c>
      <c r="D30" s="118">
        <f>-0.0006 *100</f>
        <v>-0.06</v>
      </c>
      <c r="E30" s="118">
        <f>-0.0139*100</f>
        <v>-1.39</v>
      </c>
      <c r="F30" s="118">
        <f>D30-E30</f>
        <v>1.3299999999999998</v>
      </c>
    </row>
    <row r="31" spans="1:6">
      <c r="D31" s="118"/>
      <c r="E31" s="118"/>
      <c r="F31" s="118"/>
    </row>
    <row r="32" spans="1:6">
      <c r="B32" s="11" t="s">
        <v>310</v>
      </c>
      <c r="C32" s="11" t="s">
        <v>311</v>
      </c>
      <c r="D32" s="118">
        <v>-1.7</v>
      </c>
      <c r="E32" s="118">
        <v>-1.6</v>
      </c>
      <c r="F32" s="118">
        <v>-0.2</v>
      </c>
    </row>
    <row r="33" spans="1:6">
      <c r="C33" s="11" t="s">
        <v>312</v>
      </c>
      <c r="D33" s="118">
        <v>-2.1</v>
      </c>
      <c r="E33" s="118">
        <v>-1.5</v>
      </c>
      <c r="F33" s="118">
        <v>-0.5</v>
      </c>
    </row>
    <row r="34" spans="1:6">
      <c r="C34" s="11" t="s">
        <v>479</v>
      </c>
      <c r="D34" s="118">
        <v>-3.3</v>
      </c>
      <c r="E34" s="118">
        <v>-1.6</v>
      </c>
      <c r="F34" s="118">
        <v>-1.7</v>
      </c>
    </row>
    <row r="35" spans="1:6">
      <c r="D35" s="118"/>
      <c r="E35" s="118"/>
      <c r="F35" s="118"/>
    </row>
    <row r="36" spans="1:6">
      <c r="A36" s="11" t="s">
        <v>319</v>
      </c>
      <c r="B36" s="11" t="s">
        <v>310</v>
      </c>
      <c r="C36" s="11" t="s">
        <v>311</v>
      </c>
      <c r="D36" s="118">
        <v>-0.5</v>
      </c>
      <c r="E36" s="118">
        <v>1.2</v>
      </c>
      <c r="F36" s="118">
        <v>-1.6</v>
      </c>
    </row>
    <row r="37" spans="1:6">
      <c r="C37" s="11" t="s">
        <v>312</v>
      </c>
      <c r="D37" s="118">
        <v>-1.2</v>
      </c>
      <c r="E37" s="118">
        <v>1</v>
      </c>
      <c r="F37" s="118">
        <v>-2.2000000000000002</v>
      </c>
    </row>
    <row r="38" spans="1:6">
      <c r="C38" s="11" t="s">
        <v>479</v>
      </c>
      <c r="D38" s="118">
        <v>-1.5</v>
      </c>
      <c r="E38" s="118">
        <v>0.9</v>
      </c>
      <c r="F38" s="118">
        <v>-2.4</v>
      </c>
    </row>
    <row r="39" spans="1:6">
      <c r="D39" s="118"/>
      <c r="E39" s="118"/>
      <c r="F39" s="118"/>
    </row>
    <row r="40" spans="1:6">
      <c r="A40" s="11" t="s">
        <v>320</v>
      </c>
      <c r="B40" s="11" t="s">
        <v>310</v>
      </c>
      <c r="C40" s="11" t="s">
        <v>311</v>
      </c>
      <c r="D40" s="118">
        <v>1</v>
      </c>
      <c r="E40" s="118">
        <v>-1.6</v>
      </c>
      <c r="F40" s="118">
        <v>2.7</v>
      </c>
    </row>
    <row r="41" spans="1:6">
      <c r="C41" s="11" t="s">
        <v>312</v>
      </c>
      <c r="D41" s="118">
        <v>2.1</v>
      </c>
      <c r="E41" s="118">
        <v>-1.2</v>
      </c>
      <c r="F41" s="118">
        <v>3.3</v>
      </c>
    </row>
    <row r="42" spans="1:6">
      <c r="C42" s="11" t="s">
        <v>479</v>
      </c>
      <c r="D42" s="118">
        <v>0.4</v>
      </c>
      <c r="E42" s="118">
        <v>-1.2</v>
      </c>
      <c r="F42" s="118">
        <v>1.6</v>
      </c>
    </row>
    <row r="43" spans="1:6">
      <c r="A43" s="119"/>
      <c r="B43" s="119"/>
      <c r="C43" s="119"/>
      <c r="D43" s="120"/>
      <c r="E43" s="120"/>
      <c r="F43" s="120"/>
    </row>
    <row r="44" spans="1:6">
      <c r="A44" s="95" t="s">
        <v>520</v>
      </c>
    </row>
    <row r="46" spans="1:6">
      <c r="A46" s="11" t="s">
        <v>490</v>
      </c>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H30"/>
  <sheetViews>
    <sheetView workbookViewId="0">
      <pane xSplit="1" ySplit="3" topLeftCell="AW4" activePane="bottomRight" state="frozen"/>
      <selection pane="topRight" activeCell="B1" sqref="B1"/>
      <selection pane="bottomLeft" activeCell="A4" sqref="A4"/>
      <selection pane="bottomRight"/>
    </sheetView>
  </sheetViews>
  <sheetFormatPr baseColWidth="12" defaultRowHeight="18" x14ac:dyDescent="0"/>
  <cols>
    <col min="83" max="102" width="12.83203125" style="20"/>
    <col min="104" max="113" width="12.83203125" style="22"/>
    <col min="138" max="150" width="12.83203125" style="20"/>
    <col min="175" max="179" width="12.83203125" style="20"/>
  </cols>
  <sheetData>
    <row r="1" spans="1:216" s="11" customFormat="1" ht="15">
      <c r="A1" s="11" t="s">
        <v>321</v>
      </c>
      <c r="BP1" s="54"/>
      <c r="BR1" s="11" t="s">
        <v>565</v>
      </c>
      <c r="CE1" s="21"/>
      <c r="CF1" s="21"/>
      <c r="CG1" s="21"/>
      <c r="CH1" s="21"/>
      <c r="CI1" s="21"/>
      <c r="CJ1" s="21"/>
      <c r="CK1" s="21"/>
      <c r="CL1" s="21"/>
      <c r="CM1" s="21"/>
      <c r="CN1" s="21"/>
      <c r="CO1" s="21"/>
      <c r="CP1" s="21"/>
      <c r="CQ1" s="21"/>
      <c r="CR1" s="21"/>
      <c r="CS1" s="21"/>
      <c r="CT1" s="21"/>
      <c r="CU1" s="21"/>
      <c r="CV1" s="21"/>
      <c r="CW1" s="21"/>
      <c r="CX1" s="21"/>
      <c r="CZ1" s="23" t="s">
        <v>322</v>
      </c>
      <c r="DA1" s="23"/>
      <c r="DB1" s="23"/>
      <c r="DC1" s="23"/>
      <c r="DD1" s="23"/>
      <c r="DE1" s="23"/>
      <c r="DF1" s="23"/>
      <c r="DG1" s="23"/>
      <c r="DH1" s="23"/>
      <c r="DI1" s="23"/>
      <c r="DU1" s="11" t="s">
        <v>589</v>
      </c>
      <c r="EH1" s="21"/>
      <c r="EI1" s="21"/>
      <c r="EJ1" s="21"/>
      <c r="EK1" s="21"/>
      <c r="EL1" s="21"/>
      <c r="EM1" s="21"/>
      <c r="EN1" s="21"/>
      <c r="EO1" s="21"/>
      <c r="EP1" s="21"/>
      <c r="EQ1" s="21"/>
      <c r="ER1" s="21"/>
      <c r="ES1" s="21"/>
      <c r="ET1" s="21"/>
      <c r="EV1" s="11" t="s">
        <v>187</v>
      </c>
      <c r="FS1" s="21"/>
      <c r="FT1" s="21"/>
      <c r="FU1" s="21"/>
      <c r="FV1" s="21"/>
      <c r="FW1" s="21"/>
      <c r="FY1" s="11" t="s">
        <v>323</v>
      </c>
      <c r="GV1" s="21"/>
      <c r="GW1" s="21"/>
      <c r="GX1" s="21"/>
      <c r="GY1" s="21"/>
      <c r="GZ1" s="21"/>
      <c r="HC1" s="11" t="s">
        <v>478</v>
      </c>
    </row>
    <row r="2" spans="1:216" s="11" customFormat="1" ht="15">
      <c r="B2" s="11" t="s">
        <v>324</v>
      </c>
      <c r="G2" s="11" t="s">
        <v>325</v>
      </c>
      <c r="L2" s="11" t="s">
        <v>43</v>
      </c>
      <c r="Q2" s="11" t="s">
        <v>44</v>
      </c>
      <c r="V2" s="11" t="s">
        <v>45</v>
      </c>
      <c r="AA2" s="11" t="s">
        <v>326</v>
      </c>
      <c r="AF2" s="11" t="s">
        <v>327</v>
      </c>
      <c r="AK2" s="11" t="s">
        <v>328</v>
      </c>
      <c r="AP2" s="11" t="s">
        <v>329</v>
      </c>
      <c r="AU2" s="11" t="s">
        <v>330</v>
      </c>
      <c r="AZ2" s="11" t="s">
        <v>331</v>
      </c>
      <c r="BE2" s="11" t="s">
        <v>332</v>
      </c>
      <c r="BJ2" s="11" t="s">
        <v>333</v>
      </c>
      <c r="BP2" s="54"/>
      <c r="CE2" s="21"/>
      <c r="CF2" s="21"/>
      <c r="CG2" s="21"/>
      <c r="CH2" s="21"/>
      <c r="CI2" s="21"/>
      <c r="CJ2" s="21"/>
      <c r="CK2" s="21"/>
      <c r="CL2" s="21"/>
      <c r="CM2" s="21"/>
      <c r="CN2" s="21"/>
      <c r="CO2" s="21"/>
      <c r="CP2" s="21"/>
      <c r="CQ2" s="21"/>
      <c r="CR2" s="21"/>
      <c r="CS2" s="21" t="s">
        <v>622</v>
      </c>
      <c r="CT2" s="21"/>
      <c r="CU2" s="21"/>
      <c r="CV2" s="21"/>
      <c r="CW2" s="21"/>
      <c r="CX2" s="21"/>
      <c r="CZ2" s="23"/>
      <c r="DA2" s="23"/>
      <c r="DB2" s="23"/>
      <c r="DC2" s="23"/>
      <c r="DD2" s="23"/>
      <c r="DE2" s="23"/>
      <c r="DF2" s="23"/>
      <c r="DG2" s="23"/>
      <c r="DH2" s="23"/>
      <c r="DI2" s="23"/>
      <c r="DU2" s="11" t="s">
        <v>334</v>
      </c>
      <c r="EH2" s="21"/>
      <c r="EI2" s="21"/>
      <c r="EJ2" s="21"/>
      <c r="EK2" s="21"/>
      <c r="EL2" s="21"/>
      <c r="EM2" s="21"/>
      <c r="EN2" s="21"/>
      <c r="EO2" s="21"/>
      <c r="EP2" s="21"/>
      <c r="EQ2" s="21"/>
      <c r="ER2" s="21"/>
      <c r="ES2" s="21"/>
      <c r="ET2" s="21"/>
      <c r="FS2" s="21" t="s">
        <v>335</v>
      </c>
      <c r="FT2" s="21"/>
      <c r="FU2" s="21"/>
      <c r="FV2" s="21"/>
      <c r="FW2" s="21"/>
      <c r="GV2" s="21" t="s">
        <v>335</v>
      </c>
      <c r="GW2" s="21"/>
      <c r="GX2" s="21"/>
      <c r="GY2" s="21"/>
      <c r="GZ2" s="21"/>
      <c r="HF2" s="11" t="s">
        <v>477</v>
      </c>
    </row>
    <row r="3" spans="1:216" s="9" customFormat="1" ht="90">
      <c r="B3" s="9" t="s">
        <v>336</v>
      </c>
      <c r="C3" s="9" t="s">
        <v>337</v>
      </c>
      <c r="D3" s="9" t="s">
        <v>338</v>
      </c>
      <c r="E3" s="9" t="s">
        <v>339</v>
      </c>
      <c r="F3" s="9" t="s">
        <v>340</v>
      </c>
      <c r="G3" s="9" t="s">
        <v>341</v>
      </c>
      <c r="H3" s="9" t="s">
        <v>337</v>
      </c>
      <c r="I3" s="9" t="s">
        <v>338</v>
      </c>
      <c r="J3" s="9" t="s">
        <v>339</v>
      </c>
      <c r="K3" s="9" t="s">
        <v>340</v>
      </c>
      <c r="L3" s="9" t="s">
        <v>341</v>
      </c>
      <c r="M3" s="9" t="s">
        <v>337</v>
      </c>
      <c r="N3" s="9" t="s">
        <v>338</v>
      </c>
      <c r="O3" s="9" t="s">
        <v>339</v>
      </c>
      <c r="P3" s="9" t="s">
        <v>340</v>
      </c>
      <c r="Q3" s="55" t="s">
        <v>67</v>
      </c>
      <c r="R3" s="55" t="s">
        <v>68</v>
      </c>
      <c r="S3" s="55" t="s">
        <v>69</v>
      </c>
      <c r="T3" s="55" t="s">
        <v>70</v>
      </c>
      <c r="U3" s="55" t="s">
        <v>71</v>
      </c>
      <c r="V3" s="55" t="s">
        <v>67</v>
      </c>
      <c r="W3" s="55" t="s">
        <v>68</v>
      </c>
      <c r="X3" s="55" t="s">
        <v>69</v>
      </c>
      <c r="Y3" s="55" t="s">
        <v>70</v>
      </c>
      <c r="Z3" s="55" t="s">
        <v>71</v>
      </c>
      <c r="AA3" s="55" t="s">
        <v>67</v>
      </c>
      <c r="AB3" s="55" t="s">
        <v>68</v>
      </c>
      <c r="AC3" s="55" t="s">
        <v>69</v>
      </c>
      <c r="AD3" s="55" t="s">
        <v>70</v>
      </c>
      <c r="AE3" s="55" t="s">
        <v>71</v>
      </c>
      <c r="AF3" s="55" t="s">
        <v>67</v>
      </c>
      <c r="AG3" s="55" t="s">
        <v>337</v>
      </c>
      <c r="AH3" s="55" t="s">
        <v>69</v>
      </c>
      <c r="AI3" s="55" t="s">
        <v>70</v>
      </c>
      <c r="AJ3" s="55" t="s">
        <v>71</v>
      </c>
      <c r="AK3" s="55" t="s">
        <v>67</v>
      </c>
      <c r="AL3" s="55" t="s">
        <v>68</v>
      </c>
      <c r="AM3" s="55" t="s">
        <v>69</v>
      </c>
      <c r="AN3" s="55" t="s">
        <v>70</v>
      </c>
      <c r="AO3" s="55" t="s">
        <v>71</v>
      </c>
      <c r="AP3" s="55" t="s">
        <v>67</v>
      </c>
      <c r="AQ3" s="55" t="s">
        <v>68</v>
      </c>
      <c r="AR3" s="55" t="s">
        <v>69</v>
      </c>
      <c r="AS3" s="55" t="s">
        <v>70</v>
      </c>
      <c r="AT3" s="55" t="s">
        <v>71</v>
      </c>
      <c r="AU3" s="55" t="s">
        <v>67</v>
      </c>
      <c r="AV3" s="55" t="s">
        <v>68</v>
      </c>
      <c r="AW3" s="55" t="s">
        <v>69</v>
      </c>
      <c r="AX3" s="55" t="s">
        <v>70</v>
      </c>
      <c r="AY3" s="55" t="s">
        <v>71</v>
      </c>
      <c r="AZ3" s="55" t="s">
        <v>67</v>
      </c>
      <c r="BA3" s="55" t="s">
        <v>68</v>
      </c>
      <c r="BB3" s="55" t="s">
        <v>69</v>
      </c>
      <c r="BC3" s="55" t="s">
        <v>70</v>
      </c>
      <c r="BD3" s="55" t="s">
        <v>71</v>
      </c>
      <c r="BE3" s="55" t="s">
        <v>67</v>
      </c>
      <c r="BF3" s="55" t="s">
        <v>68</v>
      </c>
      <c r="BG3" s="55" t="s">
        <v>69</v>
      </c>
      <c r="BH3" s="55" t="s">
        <v>70</v>
      </c>
      <c r="BI3" s="55" t="s">
        <v>71</v>
      </c>
      <c r="BJ3" s="55" t="s">
        <v>67</v>
      </c>
      <c r="BK3" s="55" t="s">
        <v>68</v>
      </c>
      <c r="BL3" s="55" t="s">
        <v>69</v>
      </c>
      <c r="BM3" s="55" t="s">
        <v>70</v>
      </c>
      <c r="BN3" s="55" t="s">
        <v>71</v>
      </c>
      <c r="BP3" s="56" t="s">
        <v>342</v>
      </c>
      <c r="BR3" s="9" t="s">
        <v>566</v>
      </c>
      <c r="BS3" s="9" t="s">
        <v>601</v>
      </c>
      <c r="BT3" s="9" t="s">
        <v>602</v>
      </c>
      <c r="BU3" s="9" t="s">
        <v>603</v>
      </c>
      <c r="BV3" s="9" t="s">
        <v>604</v>
      </c>
      <c r="BW3" s="9" t="s">
        <v>605</v>
      </c>
      <c r="BX3" s="9" t="s">
        <v>562</v>
      </c>
      <c r="BY3" s="9" t="s">
        <v>572</v>
      </c>
      <c r="BZ3" s="9" t="s">
        <v>573</v>
      </c>
      <c r="CA3" s="9" t="s">
        <v>574</v>
      </c>
      <c r="CB3" s="9" t="s">
        <v>606</v>
      </c>
      <c r="CC3" s="9" t="s">
        <v>607</v>
      </c>
      <c r="CD3" s="9" t="s">
        <v>608</v>
      </c>
      <c r="CE3" s="57" t="s">
        <v>609</v>
      </c>
      <c r="CF3" s="57" t="s">
        <v>610</v>
      </c>
      <c r="CG3" s="57" t="s">
        <v>611</v>
      </c>
      <c r="CH3" s="57" t="s">
        <v>612</v>
      </c>
      <c r="CI3" s="57" t="s">
        <v>613</v>
      </c>
      <c r="CJ3" s="57" t="s">
        <v>614</v>
      </c>
      <c r="CK3" s="57" t="s">
        <v>615</v>
      </c>
      <c r="CL3" s="57" t="s">
        <v>616</v>
      </c>
      <c r="CM3" s="57" t="s">
        <v>617</v>
      </c>
      <c r="CN3" s="57" t="s">
        <v>618</v>
      </c>
      <c r="CO3" s="57" t="s">
        <v>619</v>
      </c>
      <c r="CP3" s="57" t="s">
        <v>620</v>
      </c>
      <c r="CQ3" s="57" t="s">
        <v>621</v>
      </c>
      <c r="CR3" s="57"/>
      <c r="CS3" s="57" t="s">
        <v>343</v>
      </c>
      <c r="CT3" s="57" t="s">
        <v>344</v>
      </c>
      <c r="CU3" s="57" t="s">
        <v>346</v>
      </c>
      <c r="CV3" s="57" t="s">
        <v>347</v>
      </c>
      <c r="CW3" s="57" t="s">
        <v>348</v>
      </c>
      <c r="CX3" s="57" t="s">
        <v>349</v>
      </c>
      <c r="CZ3" s="58" t="s">
        <v>350</v>
      </c>
      <c r="DA3" s="58" t="s">
        <v>79</v>
      </c>
      <c r="DB3" s="58" t="s">
        <v>81</v>
      </c>
      <c r="DC3" s="58" t="s">
        <v>83</v>
      </c>
      <c r="DD3" s="58" t="s">
        <v>351</v>
      </c>
      <c r="DE3" s="58" t="s">
        <v>78</v>
      </c>
      <c r="DF3" s="58" t="s">
        <v>352</v>
      </c>
      <c r="DG3" s="58" t="s">
        <v>353</v>
      </c>
      <c r="DH3" s="58" t="s">
        <v>354</v>
      </c>
      <c r="DI3" s="58" t="s">
        <v>355</v>
      </c>
      <c r="DJ3" s="57" t="s">
        <v>450</v>
      </c>
      <c r="DK3" s="57" t="s">
        <v>449</v>
      </c>
      <c r="DL3" s="57" t="s">
        <v>451</v>
      </c>
      <c r="DM3" s="57" t="s">
        <v>452</v>
      </c>
      <c r="DN3" s="57" t="s">
        <v>453</v>
      </c>
      <c r="DO3" s="57" t="s">
        <v>454</v>
      </c>
      <c r="DP3" s="57" t="s">
        <v>455</v>
      </c>
      <c r="DQ3" s="57" t="s">
        <v>456</v>
      </c>
      <c r="DR3" s="57" t="s">
        <v>457</v>
      </c>
      <c r="DS3" s="57" t="s">
        <v>458</v>
      </c>
      <c r="DU3" s="9" t="s">
        <v>566</v>
      </c>
      <c r="DV3" s="9" t="s">
        <v>601</v>
      </c>
      <c r="DW3" s="9" t="s">
        <v>602</v>
      </c>
      <c r="DX3" s="9" t="s">
        <v>603</v>
      </c>
      <c r="DY3" s="9" t="s">
        <v>604</v>
      </c>
      <c r="DZ3" s="9" t="s">
        <v>605</v>
      </c>
      <c r="EA3" s="9" t="s">
        <v>562</v>
      </c>
      <c r="EB3" s="9" t="s">
        <v>572</v>
      </c>
      <c r="EC3" s="9" t="s">
        <v>573</v>
      </c>
      <c r="ED3" s="9" t="s">
        <v>574</v>
      </c>
      <c r="EE3" s="9" t="s">
        <v>606</v>
      </c>
      <c r="EF3" s="9" t="s">
        <v>607</v>
      </c>
      <c r="EG3" s="9" t="s">
        <v>608</v>
      </c>
      <c r="EH3" s="57" t="s">
        <v>609</v>
      </c>
      <c r="EI3" s="57" t="s">
        <v>610</v>
      </c>
      <c r="EJ3" s="57" t="s">
        <v>611</v>
      </c>
      <c r="EK3" s="57" t="s">
        <v>612</v>
      </c>
      <c r="EL3" s="57" t="s">
        <v>613</v>
      </c>
      <c r="EM3" s="57" t="s">
        <v>614</v>
      </c>
      <c r="EN3" s="57" t="s">
        <v>615</v>
      </c>
      <c r="EO3" s="57" t="s">
        <v>616</v>
      </c>
      <c r="EP3" s="57" t="s">
        <v>617</v>
      </c>
      <c r="EQ3" s="57" t="s">
        <v>618</v>
      </c>
      <c r="ER3" s="57" t="s">
        <v>619</v>
      </c>
      <c r="ES3" s="57" t="s">
        <v>620</v>
      </c>
      <c r="ET3" s="57" t="s">
        <v>621</v>
      </c>
      <c r="EV3" s="9" t="s">
        <v>229</v>
      </c>
      <c r="EW3" s="9" t="s">
        <v>356</v>
      </c>
      <c r="EX3" s="9" t="s">
        <v>357</v>
      </c>
      <c r="EY3" s="9" t="s">
        <v>91</v>
      </c>
      <c r="EZ3" s="9" t="s">
        <v>93</v>
      </c>
      <c r="FA3" s="9" t="s">
        <v>358</v>
      </c>
      <c r="FB3" s="9" t="s">
        <v>48</v>
      </c>
      <c r="FC3" s="9" t="s">
        <v>88</v>
      </c>
      <c r="FD3" s="9" t="s">
        <v>90</v>
      </c>
      <c r="FE3" s="9" t="s">
        <v>359</v>
      </c>
      <c r="FF3" s="9" t="s">
        <v>94</v>
      </c>
      <c r="FG3" s="57" t="s">
        <v>459</v>
      </c>
      <c r="FH3" s="57" t="s">
        <v>460</v>
      </c>
      <c r="FI3" s="57" t="s">
        <v>461</v>
      </c>
      <c r="FJ3" s="57" t="s">
        <v>462</v>
      </c>
      <c r="FK3" s="57" t="s">
        <v>463</v>
      </c>
      <c r="FL3" s="57" t="s">
        <v>464</v>
      </c>
      <c r="FM3" s="57" t="s">
        <v>465</v>
      </c>
      <c r="FN3" s="57" t="s">
        <v>466</v>
      </c>
      <c r="FO3" s="57" t="s">
        <v>467</v>
      </c>
      <c r="FP3" s="57" t="s">
        <v>468</v>
      </c>
      <c r="FQ3" s="57" t="s">
        <v>469</v>
      </c>
      <c r="FS3" s="57" t="s">
        <v>360</v>
      </c>
      <c r="FT3" s="57" t="s">
        <v>361</v>
      </c>
      <c r="FU3" s="57" t="s">
        <v>362</v>
      </c>
      <c r="FV3" s="57" t="s">
        <v>363</v>
      </c>
      <c r="FW3" s="57" t="s">
        <v>364</v>
      </c>
      <c r="FY3" s="9" t="s">
        <v>365</v>
      </c>
      <c r="FZ3" s="9" t="s">
        <v>366</v>
      </c>
      <c r="GA3" s="9" t="s">
        <v>367</v>
      </c>
      <c r="GB3" s="9" t="s">
        <v>368</v>
      </c>
      <c r="GC3" s="9" t="s">
        <v>93</v>
      </c>
      <c r="GD3" s="9" t="s">
        <v>369</v>
      </c>
      <c r="GE3" s="9" t="s">
        <v>370</v>
      </c>
      <c r="GF3" s="9" t="s">
        <v>371</v>
      </c>
      <c r="GG3" s="9" t="s">
        <v>90</v>
      </c>
      <c r="GH3" s="9" t="s">
        <v>372</v>
      </c>
      <c r="GI3" s="9" t="s">
        <v>373</v>
      </c>
      <c r="GJ3" s="57" t="s">
        <v>459</v>
      </c>
      <c r="GK3" s="57" t="s">
        <v>470</v>
      </c>
      <c r="GL3" s="57" t="s">
        <v>461</v>
      </c>
      <c r="GM3" s="57" t="s">
        <v>471</v>
      </c>
      <c r="GN3" s="57" t="s">
        <v>463</v>
      </c>
      <c r="GO3" s="57" t="s">
        <v>464</v>
      </c>
      <c r="GP3" s="57" t="s">
        <v>472</v>
      </c>
      <c r="GQ3" s="57" t="s">
        <v>466</v>
      </c>
      <c r="GR3" s="57" t="s">
        <v>473</v>
      </c>
      <c r="GS3" s="57" t="s">
        <v>468</v>
      </c>
      <c r="GT3" s="57" t="s">
        <v>469</v>
      </c>
      <c r="GV3" s="57" t="s">
        <v>72</v>
      </c>
      <c r="GW3" s="57" t="s">
        <v>73</v>
      </c>
      <c r="GX3" s="57" t="s">
        <v>345</v>
      </c>
      <c r="GY3" s="57" t="s">
        <v>196</v>
      </c>
      <c r="GZ3" s="57" t="s">
        <v>76</v>
      </c>
      <c r="HC3" s="9" t="s">
        <v>474</v>
      </c>
      <c r="HD3" s="9" t="s">
        <v>475</v>
      </c>
      <c r="HF3" s="9" t="s">
        <v>190</v>
      </c>
      <c r="HG3" s="9" t="s">
        <v>476</v>
      </c>
      <c r="HH3" s="9" t="s">
        <v>198</v>
      </c>
    </row>
    <row r="4" spans="1:216" s="9" customFormat="1" ht="15">
      <c r="A4" s="11">
        <v>2001</v>
      </c>
      <c r="B4" s="59">
        <f>FX_effect!B4</f>
        <v>379781</v>
      </c>
      <c r="C4" s="59">
        <f>FX_effect!C4</f>
        <v>38575</v>
      </c>
      <c r="D4" s="59">
        <f>FX_effect!D4</f>
        <v>18686</v>
      </c>
      <c r="E4" s="59">
        <f>FX_effect!E4</f>
        <v>27789</v>
      </c>
      <c r="F4" s="59">
        <f>FX_effect!F4</f>
        <v>-7900</v>
      </c>
      <c r="G4" s="59">
        <f>FX_effect!G4</f>
        <v>39555</v>
      </c>
      <c r="H4" s="59">
        <f>FX_effect!H4</f>
        <v>7562</v>
      </c>
      <c r="I4" s="59">
        <f>FX_effect!I4</f>
        <v>4659</v>
      </c>
      <c r="J4" s="59">
        <f>FX_effect!J4</f>
        <v>3692</v>
      </c>
      <c r="K4" s="59">
        <f>FX_effect!K4</f>
        <v>-789</v>
      </c>
      <c r="L4" s="59">
        <f>FX_effect!L4</f>
        <v>29965</v>
      </c>
      <c r="M4" s="59">
        <f>FX_effect!M4</f>
        <v>-168</v>
      </c>
      <c r="N4" s="59">
        <f>FX_effect!N4</f>
        <v>1414</v>
      </c>
      <c r="O4" s="59">
        <f>FX_effect!O4</f>
        <v>3232</v>
      </c>
      <c r="P4" s="59">
        <f>FX_effect!P4</f>
        <v>-4814</v>
      </c>
      <c r="Q4" s="59">
        <f>FX_effect!Q4</f>
        <v>140025</v>
      </c>
      <c r="R4" s="59">
        <f>FX_effect!R4</f>
        <v>20043</v>
      </c>
      <c r="S4" s="59">
        <f>FX_effect!S4</f>
        <v>10989</v>
      </c>
      <c r="T4" s="59">
        <f>FX_effect!T4</f>
        <v>10292</v>
      </c>
      <c r="U4" s="59">
        <f>FX_effect!U4</f>
        <v>-1239</v>
      </c>
      <c r="V4" s="59">
        <f>FX_effect!V4</f>
        <v>395</v>
      </c>
      <c r="W4" s="59">
        <f>FX_effect!W4</f>
        <v>15</v>
      </c>
      <c r="X4" s="59">
        <f>FX_effect!X4</f>
        <v>1771</v>
      </c>
      <c r="Y4" s="59">
        <f>FX_effect!Y4</f>
        <v>3</v>
      </c>
      <c r="Z4" s="59">
        <f>FX_effect!Z4</f>
        <v>-1760</v>
      </c>
      <c r="AA4" s="60">
        <f>FX_effect!AA4</f>
        <v>117069</v>
      </c>
      <c r="AB4" s="60">
        <f>FX_effect!AB4</f>
        <v>-171</v>
      </c>
      <c r="AC4" s="60">
        <f>FX_effect!AC4</f>
        <v>-5083</v>
      </c>
      <c r="AD4" s="60">
        <f>FX_effect!AD4</f>
        <v>4982</v>
      </c>
      <c r="AE4" s="60">
        <f>FX_effect!AE4</f>
        <v>-70</v>
      </c>
      <c r="AF4" s="60">
        <f>FX_effect!AF4</f>
        <v>52772</v>
      </c>
      <c r="AG4" s="60">
        <f>FX_effect!AG4</f>
        <v>11294</v>
      </c>
      <c r="AH4" s="60">
        <f>FX_effect!AH4</f>
        <v>4936</v>
      </c>
      <c r="AI4" s="60">
        <f>FX_effect!AI4</f>
        <v>5586</v>
      </c>
      <c r="AJ4" s="60">
        <f>FX_effect!AJ4</f>
        <v>772</v>
      </c>
      <c r="AK4" s="60">
        <f>FX_effect!AK4</f>
        <v>200524</v>
      </c>
      <c r="AL4" s="60">
        <f>FX_effect!AL4</f>
        <v>-7635</v>
      </c>
      <c r="AM4" s="60">
        <f>FX_effect!AM4</f>
        <v>7674</v>
      </c>
      <c r="AN4" s="60">
        <f>FX_effect!AN4</f>
        <v>7773</v>
      </c>
      <c r="AO4" s="60">
        <f>FX_effect!AO4</f>
        <v>-23083</v>
      </c>
      <c r="AP4" s="60">
        <f>FX_effect!AP4</f>
        <v>6632</v>
      </c>
      <c r="AQ4" s="60">
        <f>FX_effect!AQ4</f>
        <v>850</v>
      </c>
      <c r="AR4" s="60">
        <f>FX_effect!AR4</f>
        <v>759</v>
      </c>
      <c r="AS4" s="60">
        <f>FX_effect!AS4</f>
        <v>0</v>
      </c>
      <c r="AT4" s="60">
        <f>FX_effect!AT4</f>
        <v>91</v>
      </c>
      <c r="AU4" s="60">
        <f>FX_effect!AU4</f>
        <v>49563</v>
      </c>
      <c r="AV4" s="60">
        <f>FX_effect!AV4</f>
        <v>-13659</v>
      </c>
      <c r="AW4" s="60">
        <f>FX_effect!AW4</f>
        <v>4097</v>
      </c>
      <c r="AX4" s="60">
        <f>FX_effect!AX4</f>
        <v>0</v>
      </c>
      <c r="AY4" s="60">
        <f>FX_effect!AY4</f>
        <v>-17756</v>
      </c>
      <c r="AZ4" s="60">
        <f>FX_effect!AZ4</f>
        <v>38189</v>
      </c>
      <c r="BA4" s="60">
        <f>FX_effect!BA4</f>
        <v>-198</v>
      </c>
      <c r="BB4" s="60">
        <f>FX_effect!BB4</f>
        <v>693</v>
      </c>
      <c r="BC4" s="60">
        <f>FX_effect!BC4</f>
        <v>921</v>
      </c>
      <c r="BD4" s="60">
        <f>FX_effect!BD4</f>
        <v>-1812</v>
      </c>
      <c r="BE4" s="60">
        <f>FX_effect!BE4</f>
        <v>467</v>
      </c>
      <c r="BF4" s="60">
        <f>FX_effect!BF4</f>
        <v>101</v>
      </c>
      <c r="BG4" s="60">
        <f>FX_effect!BG4</f>
        <v>1716</v>
      </c>
      <c r="BH4" s="60">
        <f>FX_effect!BH4</f>
        <v>0</v>
      </c>
      <c r="BI4" s="60">
        <f>FX_effect!BI4</f>
        <v>-1616</v>
      </c>
      <c r="BJ4" s="60">
        <f>FX_effect!BJ4</f>
        <v>105673</v>
      </c>
      <c r="BK4" s="60">
        <f>FX_effect!BK4</f>
        <v>5271</v>
      </c>
      <c r="BL4" s="60">
        <f>FX_effect!BL4</f>
        <v>409</v>
      </c>
      <c r="BM4" s="60">
        <f>FX_effect!BM4</f>
        <v>6853</v>
      </c>
      <c r="BN4" s="60">
        <f>FX_effect!BN4</f>
        <v>-1991</v>
      </c>
      <c r="BP4" s="54">
        <f>yield!M9</f>
        <v>-0.80337580134707898</v>
      </c>
      <c r="BR4" s="11">
        <f>C4-D4</f>
        <v>19889</v>
      </c>
      <c r="BS4" s="11">
        <f>H4-I4</f>
        <v>2903</v>
      </c>
      <c r="BT4" s="11">
        <f>M4-N4</f>
        <v>-1582</v>
      </c>
      <c r="BU4" s="11">
        <f>R4-S4</f>
        <v>9054</v>
      </c>
      <c r="BV4" s="11">
        <f>W4-X4</f>
        <v>-1756</v>
      </c>
      <c r="BW4" s="11">
        <f>AB4-AC4</f>
        <v>4912</v>
      </c>
      <c r="BX4" s="11">
        <f>AG4-AH4</f>
        <v>6358</v>
      </c>
      <c r="BY4" s="11">
        <f>AL4-AM4</f>
        <v>-15309</v>
      </c>
      <c r="BZ4" s="11">
        <f>AQ4-AR4</f>
        <v>91</v>
      </c>
      <c r="CA4" s="11">
        <f>AV4-AW4</f>
        <v>-17756</v>
      </c>
      <c r="CB4" s="11">
        <f>BA4-BB4</f>
        <v>-891</v>
      </c>
      <c r="CC4" s="11">
        <f>BF4-BG4</f>
        <v>-1615</v>
      </c>
      <c r="CD4" s="11">
        <f>BK4-BL4</f>
        <v>4862</v>
      </c>
      <c r="CE4" s="21">
        <f>((1+BR4/(B4-C4))/(1+BP4/100)-1)*100</f>
        <v>6.6861204452175471</v>
      </c>
      <c r="CF4" s="21">
        <f>((1+BS4/(G4-H4))/(1+BP4/100)-1)*100</f>
        <v>9.957229681951052</v>
      </c>
      <c r="CG4" s="21">
        <f>((1+BT4/(L4-M4))/(1+BP4/100)-1)*100</f>
        <v>-4.4826951627018889</v>
      </c>
      <c r="CH4" s="21">
        <f>((1+BU4/(Q4-R4))/(1+BP4/100)-1)*100</f>
        <v>8.4171288978687198</v>
      </c>
      <c r="CI4" s="21">
        <f>((1+BV4/(V4-W4))/(1+BP4/100)-1)*100</f>
        <v>-465.03788922568197</v>
      </c>
      <c r="CJ4" s="21">
        <f>((1+BW4/(AA4-AB4))/(1+BP4/100)-1)*100</f>
        <v>5.0335101532454241</v>
      </c>
      <c r="CK4" s="21">
        <f>((1+BX4/(AF4-AG4))/(1+BP4/100)-1)*100</f>
        <v>16.262633802717353</v>
      </c>
      <c r="CL4" s="21">
        <f>((1+BY4/(AK4-AL4))/(1+BP4/100)-1)*100</f>
        <v>-6.604154602644785</v>
      </c>
      <c r="CM4" s="21">
        <f>((1+BZ4/(AP4-AQ4))/(1+BP4/100)-1)*100</f>
        <v>2.3964784078952528</v>
      </c>
      <c r="CN4" s="21">
        <f>((1+CA4/(AU4-AV4))/(1+BP4/100)-1)*100</f>
        <v>-27.502734743323654</v>
      </c>
      <c r="CO4" s="21">
        <f>((1+CB4/(AZ4-BA4))/(1+BP4/100)-1)*100</f>
        <v>-1.5300142513888115</v>
      </c>
      <c r="CP4" s="21">
        <f>((1+CC4/(BE4-BF4))/(1+BP4/100)-1)*100</f>
        <v>-444.02060892484201</v>
      </c>
      <c r="CQ4" s="21">
        <f>((1+CD4/(BJ4-BK4))/(1+BP4/100)-1)*100</f>
        <v>5.6916340291087497</v>
      </c>
      <c r="CR4" s="57"/>
      <c r="CS4" s="21">
        <f t="shared" ref="CS4:CX15" si="0">CE4-CL4</f>
        <v>13.290275047862332</v>
      </c>
      <c r="CT4" s="21">
        <f t="shared" si="0"/>
        <v>7.5607512740557992</v>
      </c>
      <c r="CU4" s="21">
        <f t="shared" si="0"/>
        <v>23.020039580621763</v>
      </c>
      <c r="CV4" s="21">
        <f t="shared" si="0"/>
        <v>9.9471431492575313</v>
      </c>
      <c r="CW4" s="21">
        <f t="shared" si="0"/>
        <v>-21.017280300839957</v>
      </c>
      <c r="CX4" s="21">
        <f t="shared" si="0"/>
        <v>-0.65812387586332566</v>
      </c>
      <c r="CZ4" s="23">
        <f>Balance_on_income!B9</f>
        <v>12488.599999999999</v>
      </c>
      <c r="DA4" s="23">
        <f>Balance_on_income!C9</f>
        <v>2044.7</v>
      </c>
      <c r="DB4" s="23">
        <f>Balance_on_income!D9</f>
        <v>877</v>
      </c>
      <c r="DC4" s="23">
        <f>Balance_on_income!E9</f>
        <v>6786.2</v>
      </c>
      <c r="DD4" s="23">
        <f>Balance_on_income!F9</f>
        <v>2780.7</v>
      </c>
      <c r="DE4" s="23">
        <f>Balance_on_income!G9</f>
        <v>4082.8</v>
      </c>
      <c r="DF4" s="23">
        <f>Balance_on_income!H9</f>
        <v>501.3</v>
      </c>
      <c r="DG4" s="23">
        <f>Balance_on_income!I9</f>
        <v>325</v>
      </c>
      <c r="DH4" s="23">
        <f>Balance_on_income!J9</f>
        <v>1111.5</v>
      </c>
      <c r="DI4" s="23">
        <f>Balance_on_income!K9</f>
        <v>2145</v>
      </c>
      <c r="DJ4" s="21">
        <f>((1+CZ4/(B4-C4))/(1+BP4/100)-1)*100</f>
        <v>4.499659913383014</v>
      </c>
      <c r="DK4" s="21">
        <f>((1+DA4/(G4-H4))/(1+BP4/100)-1)*100</f>
        <v>7.2527280131059468</v>
      </c>
      <c r="DL4" s="21">
        <f>((1+DB4/(L4-M4))/(1+BP4/100)-1)*100</f>
        <v>3.7438836819941201</v>
      </c>
      <c r="DM4" s="21">
        <f>((1+DC4/(Q4-R4))/(1+BP4/100)-1)*100</f>
        <v>6.5117043270932262</v>
      </c>
      <c r="DN4" s="21">
        <f>((1+DD4/(AA4-AB4))/(1+BP4/100)-1)*100</f>
        <v>3.2008924295109598</v>
      </c>
      <c r="DO4" s="21">
        <f>((1+DE4/(AK4-AL4))/(1+BP4/100)-1)*100</f>
        <v>2.7871523964551947</v>
      </c>
      <c r="DP4" s="21">
        <f>((1+DF4/(AP4-AQ4))/(1+BP4/100)-1)*100</f>
        <v>9.5501094466760037</v>
      </c>
      <c r="DQ4" s="21">
        <f>((1+DG4/(AU4-AV4))/(1+BP4/100)-1)*100</f>
        <v>1.3281070528749384</v>
      </c>
      <c r="DR4" s="21">
        <f>((1+DH4/(AZ4-BA4))/(1+BP4/100)-1)*100</f>
        <v>3.7288439324599798</v>
      </c>
      <c r="DS4" s="21">
        <f>((1+DI4/(BJ4-BK4))/(1+BP4/100)-1)*100</f>
        <v>2.9635962416687089</v>
      </c>
      <c r="DU4" s="11">
        <f>C4-D4-E4</f>
        <v>-7900</v>
      </c>
      <c r="DV4" s="11">
        <f>H4-I4-J4</f>
        <v>-789</v>
      </c>
      <c r="DW4" s="11">
        <f>M4-N4-O4</f>
        <v>-4814</v>
      </c>
      <c r="DX4" s="11">
        <f>R4-S4-T4</f>
        <v>-1238</v>
      </c>
      <c r="DY4" s="11">
        <f>W4-X4-Y4</f>
        <v>-1759</v>
      </c>
      <c r="DZ4" s="11">
        <f>AB4-AC4-AD4</f>
        <v>-70</v>
      </c>
      <c r="EA4" s="11">
        <f>AG4-AH4-AI4</f>
        <v>772</v>
      </c>
      <c r="EB4" s="11">
        <f>AL4-AM4-AN4</f>
        <v>-23082</v>
      </c>
      <c r="EC4" s="11">
        <f>AQ4-AR4-AS4</f>
        <v>91</v>
      </c>
      <c r="ED4" s="11">
        <f>AV4-AW4-AX4</f>
        <v>-17756</v>
      </c>
      <c r="EE4" s="11">
        <f t="shared" ref="EE4:EE15" si="1">BA4-BB4-BC4</f>
        <v>-1812</v>
      </c>
      <c r="EF4" s="11">
        <f t="shared" ref="EF4:EF15" si="2">BF4-BG4-BH4</f>
        <v>-1615</v>
      </c>
      <c r="EG4" s="11">
        <f t="shared" ref="EG4:EG15" si="3">BK4-BL4-BM4</f>
        <v>-1991</v>
      </c>
      <c r="EH4" s="21">
        <f t="shared" ref="EH4:EH15" si="4">((1+DU4/(B4-C4))/(1+BP4/100)-1)*100</f>
        <v>-1.5241859867523022</v>
      </c>
      <c r="EI4" s="21">
        <f t="shared" ref="EI4:EI15" si="5">((1+DV4/(G4-H4))/(1+BP4/100)-1)*100</f>
        <v>-1.6762553015932879</v>
      </c>
      <c r="EJ4" s="21">
        <f t="shared" ref="EJ4:EJ15" si="6">((1+DW4/(L4-M4))/(1+BP4/100)-1)*100</f>
        <v>-15.295343729622402</v>
      </c>
      <c r="EK4" s="21">
        <f t="shared" ref="EK4:EK15" si="7">((1+DX4/(Q4-R4))/(1+BP4/100)-1)*100</f>
        <v>-0.23029577909635668</v>
      </c>
      <c r="EL4" s="21">
        <f t="shared" ref="EL4:EL15" si="8">((1+DY4/(V4-W4))/(1+BP4/100)-1)*100</f>
        <v>-465.83375671672638</v>
      </c>
      <c r="EM4" s="21">
        <f t="shared" ref="EM4:EM15" si="9">((1+DZ4/(AA4-AB4))/(1+BP4/100)-1)*100</f>
        <v>0.74969206116777265</v>
      </c>
      <c r="EN4" s="21">
        <f t="shared" ref="EN4:EN15" si="10">((1+EA4/(AF4-AG4))/(1+BP4/100)-1)*100</f>
        <v>2.6861835890293451</v>
      </c>
      <c r="EO4" s="21">
        <f t="shared" ref="EO4:EO15" si="11">((1+EB4/(AK4-AL4))/(1+BP4/100)-1)*100</f>
        <v>-10.368561687289024</v>
      </c>
      <c r="EP4" s="21">
        <f t="shared" ref="EP4:EP15" si="12">((1+EC4/(AP4-AQ4))/(1+BP4/100)-1)*100</f>
        <v>2.3964784078952528</v>
      </c>
      <c r="EQ4" s="21">
        <f t="shared" ref="EQ4:EQ15" si="13">((1+ED4/(AU4-AV4))/(1+BP4/100)-1)*100</f>
        <v>-27.502734743323654</v>
      </c>
      <c r="ER4" s="21">
        <f t="shared" ref="ER4:ER15" si="14">((1+EE4/(AZ4-BA4))/(1+BP4/100)-1)*100</f>
        <v>-3.9486950939979115</v>
      </c>
      <c r="ES4" s="21">
        <f>((1+EF4/(BE4-BF4))/(1+BP4/100)-1)*100</f>
        <v>-444.02060892484201</v>
      </c>
      <c r="ET4" s="21">
        <f t="shared" ref="ET4:ET15" si="15">((1+EG4/(BJ4-BK4))/(1+BP4/100)-1)*100</f>
        <v>-1.1892062201833364</v>
      </c>
      <c r="EV4" s="23">
        <f t="shared" ref="EV4:EV15" si="16">CZ4+BR4</f>
        <v>32377.599999999999</v>
      </c>
      <c r="EW4" s="23">
        <f t="shared" ref="EW4:EY15" si="17">BS4+DA4</f>
        <v>4947.7</v>
      </c>
      <c r="EX4" s="23">
        <f t="shared" si="17"/>
        <v>-705</v>
      </c>
      <c r="EY4" s="23">
        <f t="shared" si="17"/>
        <v>15840.2</v>
      </c>
      <c r="EZ4" s="23">
        <f t="shared" ref="EZ4:EZ15" si="18">BW4+DD4</f>
        <v>7692.7</v>
      </c>
      <c r="FA4" s="23">
        <f t="shared" ref="FA4:FA15" si="19">BX4</f>
        <v>6358</v>
      </c>
      <c r="FB4" s="23">
        <f t="shared" ref="FB4:FB15" si="20">DE4+BY4</f>
        <v>-11226.2</v>
      </c>
      <c r="FC4" s="23">
        <f t="shared" ref="FC4:FE15" si="21">BZ4+DF4</f>
        <v>592.29999999999995</v>
      </c>
      <c r="FD4" s="23">
        <f t="shared" si="21"/>
        <v>-17431</v>
      </c>
      <c r="FE4" s="23">
        <f t="shared" si="21"/>
        <v>220.5</v>
      </c>
      <c r="FF4" s="23">
        <f t="shared" ref="FF4:FF15" si="22">CD4+DI4</f>
        <v>7007</v>
      </c>
      <c r="FG4" s="21">
        <f t="shared" ref="FG4:FG15" si="23">((1+EV4/(B4-C4))/(1+BP4/100)-1)*100</f>
        <v>10.375898159647633</v>
      </c>
      <c r="FH4" s="21">
        <f t="shared" ref="FH4:FH15" si="24">((1+EW4/(G4-H4))/(1+BP4/100)-1)*100</f>
        <v>16.400075496104115</v>
      </c>
      <c r="FI4" s="21">
        <f t="shared" ref="FI4:FI15" si="25">((1+EX4/(L4-M4))/(1+BP4/100)-1)*100</f>
        <v>-1.5486936796606399</v>
      </c>
      <c r="FJ4" s="21">
        <f t="shared" ref="FJ4:FJ15" si="26">((1+EY4/(Q4-R4))/(1+BP4/100)-1)*100</f>
        <v>14.118951026009064</v>
      </c>
      <c r="FK4" s="21">
        <f t="shared" ref="FK4:FK15" si="27">((1+EZ4/(AA4-AB4))/(1+BP4/100)-1)*100</f>
        <v>7.424520383803479</v>
      </c>
      <c r="FL4" s="21">
        <f t="shared" ref="FL4:FL15" si="28">((1+FA4/(AF4-AG4))/(1+BP4/100)-1)*100</f>
        <v>16.262633802717353</v>
      </c>
      <c r="FM4" s="21">
        <f t="shared" ref="FM4:FM15" si="29">((1+FB4/(AK4-AL4))/(1+BP4/100)-1)*100</f>
        <v>-4.6268844051424622</v>
      </c>
      <c r="FN4" s="21">
        <f t="shared" ref="FN4:FN15" si="30">((1+FC4/(AP4-AQ4))/(1+BP4/100)-1)*100</f>
        <v>11.136705655618373</v>
      </c>
      <c r="FO4" s="21">
        <f t="shared" ref="FO4:FO15" si="31">((1+FD4/(AU4-AV4))/(1+BP4/100)-1)*100</f>
        <v>-26.984509889401597</v>
      </c>
      <c r="FP4" s="21">
        <f t="shared" ref="FP4:FP15" si="32">((1+FE4/(AZ4-BA4))/(1+BP4/100)-1)*100</f>
        <v>1.3889474821182635</v>
      </c>
      <c r="FQ4" s="21">
        <f t="shared" ref="FQ4:FQ15" si="33">((1+FF4/(BJ4-BK4))/(1+BP4/100)-1)*100</f>
        <v>7.8453480718245761</v>
      </c>
      <c r="FS4" s="21">
        <f>FG4-FM4</f>
        <v>15.002782564790095</v>
      </c>
      <c r="FT4" s="21">
        <f>FH4-FN4</f>
        <v>5.2633698404857423</v>
      </c>
      <c r="FU4" s="21">
        <f>FI4-FO4</f>
        <v>25.435816209740956</v>
      </c>
      <c r="FV4" s="21">
        <f>FJ4-FP4</f>
        <v>12.730003543890801</v>
      </c>
      <c r="FW4" s="21">
        <f>FK4-FQ4</f>
        <v>-0.42082768802109705</v>
      </c>
      <c r="FY4" s="23">
        <f t="shared" ref="FY4:FY15" si="34">DU4+CZ4</f>
        <v>4588.5999999999985</v>
      </c>
      <c r="FZ4" s="23">
        <f t="shared" ref="FZ4:GB15" si="35">DA4+DV4</f>
        <v>1255.7</v>
      </c>
      <c r="GA4" s="23">
        <f t="shared" si="35"/>
        <v>-3937</v>
      </c>
      <c r="GB4" s="23">
        <f t="shared" si="35"/>
        <v>5548.2</v>
      </c>
      <c r="GC4" s="23">
        <f t="shared" ref="GC4:GC15" si="36">DD4+DZ4</f>
        <v>2710.7</v>
      </c>
      <c r="GD4" s="23">
        <f t="shared" ref="GD4:GD15" si="37">EA4</f>
        <v>772</v>
      </c>
      <c r="GE4" s="23">
        <f t="shared" ref="GE4:GE15" si="38">EB4+DE4</f>
        <v>-18999.2</v>
      </c>
      <c r="GF4" s="23">
        <f t="shared" ref="GF4:GH15" si="39">DF4+EC4</f>
        <v>592.29999999999995</v>
      </c>
      <c r="GG4" s="23">
        <f t="shared" si="39"/>
        <v>-17431</v>
      </c>
      <c r="GH4" s="23">
        <f t="shared" si="39"/>
        <v>-700.5</v>
      </c>
      <c r="GI4" s="23">
        <f t="shared" ref="GI4:GI15" si="40">DI4+EG4</f>
        <v>154</v>
      </c>
      <c r="GJ4" s="21">
        <f t="shared" ref="GJ4:GJ15" si="41">((FY4/(B4-C4)+1)/(1+BP4/100)-1)*100</f>
        <v>2.1655917276778069</v>
      </c>
      <c r="GK4" s="21">
        <f t="shared" ref="GK4:GK15" si="42">((FZ4/(G4-H4)+1)/(1+BP4/100)-1)*100</f>
        <v>4.7665905125597652</v>
      </c>
      <c r="GL4" s="21">
        <f t="shared" ref="GL4:GL15" si="43">((GA4/(L4-M4)+1)/(1+BP4/100)-1)*100</f>
        <v>-12.361342246581152</v>
      </c>
      <c r="GM4" s="21">
        <f t="shared" ref="GM4:GM15" si="44">((GB4/(Q4-R4)+1)/(1+BP4/100)-1)*100</f>
        <v>5.471526349043998</v>
      </c>
      <c r="GN4" s="21">
        <f t="shared" ref="GN4:GN15" si="45">((GC4/(AA4-AB4)+1)/(1+BP4/100)-1)*100</f>
        <v>3.1407022917258498</v>
      </c>
      <c r="GO4" s="21">
        <f t="shared" ref="GO4:GO15" si="46">((GD4/(AF4-AG4)+1)/(1+BP4/100)-1)*100</f>
        <v>2.6861835890293451</v>
      </c>
      <c r="GP4" s="21">
        <f t="shared" ref="GP4:GP15" si="47">((GE4/(AK4-AL4)+1)/(1+BP4/100)-1)*100</f>
        <v>-8.3912914897867115</v>
      </c>
      <c r="GQ4" s="21">
        <f t="shared" ref="GQ4:GQ15" si="48">((GF4/(AP4-AQ4)+1)/(1+BP4/100)-1)*100</f>
        <v>11.136705655618373</v>
      </c>
      <c r="GR4" s="21">
        <f t="shared" ref="GR4:GR15" si="49">((GG4/(AU4-AV4)+1)/(1+BP4/100)-1)*100</f>
        <v>-26.984509889401597</v>
      </c>
      <c r="GS4" s="21">
        <f t="shared" ref="GS4:GS15" si="50">((GH4/(AZ4-BA4)+1)/(1+BP4/100)-1)*100</f>
        <v>-1.0297333604908476</v>
      </c>
      <c r="GT4" s="21">
        <f t="shared" ref="GT4:GT15" si="51">((GI4/(BJ4-BK4)+1)/(1+BP4/100)-1)*100</f>
        <v>0.9645078225324788</v>
      </c>
      <c r="GV4" s="21">
        <f>GJ4-GP4</f>
        <v>10.556883217464518</v>
      </c>
      <c r="GW4" s="21">
        <f>GK4-GQ4</f>
        <v>-6.3701151430586078</v>
      </c>
      <c r="GX4" s="21">
        <f>GL4-GR4</f>
        <v>14.623167642820444</v>
      </c>
      <c r="GY4" s="21">
        <f>GM4-GS4</f>
        <v>6.5012597095348461</v>
      </c>
      <c r="GZ4" s="21">
        <f>GN4-GT4</f>
        <v>2.176194469193371</v>
      </c>
      <c r="HC4" s="44">
        <f t="shared" ref="HC4:HC15" si="52">DC4/((Q4-R4)+(AF4-AG4))</f>
        <v>4.2030224204137247E-2</v>
      </c>
      <c r="HD4" s="44">
        <f t="shared" ref="HD4:HD15" si="53">DH4/(AZ4-BA4)</f>
        <v>2.8955115012894991E-2</v>
      </c>
      <c r="HE4" s="44"/>
      <c r="HF4" s="44">
        <f t="shared" ref="HF4:HF15" si="54">((1+HC4)/(1+BP4/100)-1)*100</f>
        <v>5.0469441497675405</v>
      </c>
      <c r="HG4" s="44">
        <f t="shared" ref="HG4:HG15" si="55">((1+HD4)/(1+BP4/100)-1)*100</f>
        <v>3.7288439324599798</v>
      </c>
      <c r="HH4" s="44">
        <f>HF4-HG4</f>
        <v>1.3181002173075607</v>
      </c>
    </row>
    <row r="5" spans="1:216" s="9" customFormat="1" ht="15">
      <c r="A5" s="11">
        <v>2002</v>
      </c>
      <c r="B5" s="59">
        <f>FX_effect!B5</f>
        <v>365940</v>
      </c>
      <c r="C5" s="59">
        <f>FX_effect!C5</f>
        <v>-13841</v>
      </c>
      <c r="D5" s="59">
        <f>FX_effect!D5</f>
        <v>15631</v>
      </c>
      <c r="E5" s="59">
        <f>FX_effect!E5</f>
        <v>-15818</v>
      </c>
      <c r="F5" s="59">
        <f>FX_effect!F5</f>
        <v>-13653</v>
      </c>
      <c r="G5" s="59">
        <f>FX_effect!G5</f>
        <v>36478</v>
      </c>
      <c r="H5" s="59">
        <f>FX_effect!H5</f>
        <v>-3077</v>
      </c>
      <c r="I5" s="59">
        <f>FX_effect!I5</f>
        <v>4048</v>
      </c>
      <c r="J5" s="59">
        <f>FX_effect!J5</f>
        <v>-1951</v>
      </c>
      <c r="K5" s="59">
        <f>FX_effect!K5</f>
        <v>-5174</v>
      </c>
      <c r="L5" s="59">
        <f>FX_effect!L5</f>
        <v>25277</v>
      </c>
      <c r="M5" s="59">
        <f>FX_effect!M5</f>
        <v>-4688</v>
      </c>
      <c r="N5" s="59">
        <f>FX_effect!N5</f>
        <v>4736</v>
      </c>
      <c r="O5" s="59">
        <f>FX_effect!O5</f>
        <v>-1220</v>
      </c>
      <c r="P5" s="59">
        <f>FX_effect!P5</f>
        <v>-8203</v>
      </c>
      <c r="Q5" s="59">
        <f>FX_effect!Q5</f>
        <v>141926</v>
      </c>
      <c r="R5" s="59">
        <f>FX_effect!R5</f>
        <v>1901</v>
      </c>
      <c r="S5" s="59">
        <f>FX_effect!S5</f>
        <v>8595</v>
      </c>
      <c r="T5" s="59">
        <f>FX_effect!T5</f>
        <v>-4719</v>
      </c>
      <c r="U5" s="59">
        <f>FX_effect!U5</f>
        <v>-1975</v>
      </c>
      <c r="V5" s="59">
        <f>FX_effect!V5</f>
        <v>404</v>
      </c>
      <c r="W5" s="59">
        <f>FX_effect!W5</f>
        <v>8</v>
      </c>
      <c r="X5" s="59">
        <f>FX_effect!X5</f>
        <v>1376</v>
      </c>
      <c r="Y5" s="59">
        <f>FX_effect!Y5</f>
        <v>-2</v>
      </c>
      <c r="Z5" s="59">
        <f>FX_effect!Z5</f>
        <v>-1365</v>
      </c>
      <c r="AA5" s="60">
        <f>FX_effect!AA5</f>
        <v>105792</v>
      </c>
      <c r="AB5" s="60">
        <f>FX_effect!AB5</f>
        <v>-11276</v>
      </c>
      <c r="AC5" s="60">
        <f>FX_effect!AC5</f>
        <v>-8920</v>
      </c>
      <c r="AD5" s="60">
        <f>FX_effect!AD5</f>
        <v>-4093</v>
      </c>
      <c r="AE5" s="60">
        <f>FX_effect!AE5</f>
        <v>1737</v>
      </c>
      <c r="AF5" s="60">
        <f>FX_effect!AF5</f>
        <v>56063</v>
      </c>
      <c r="AG5" s="60">
        <f>FX_effect!AG5</f>
        <v>3291</v>
      </c>
      <c r="AH5" s="60">
        <f>FX_effect!AH5</f>
        <v>5797</v>
      </c>
      <c r="AI5" s="60">
        <f>FX_effect!AI5</f>
        <v>-3834</v>
      </c>
      <c r="AJ5" s="60">
        <f>FX_effect!AJ5</f>
        <v>1328</v>
      </c>
      <c r="AK5" s="60">
        <f>FX_effect!AK5</f>
        <v>190631</v>
      </c>
      <c r="AL5" s="60">
        <f>FX_effect!AL5</f>
        <v>-9893</v>
      </c>
      <c r="AM5" s="60">
        <f>FX_effect!AM5</f>
        <v>1184</v>
      </c>
      <c r="AN5" s="60">
        <f>FX_effect!AN5</f>
        <v>-5305</v>
      </c>
      <c r="AO5" s="60">
        <f>FX_effect!AO5</f>
        <v>-5771</v>
      </c>
      <c r="AP5" s="60">
        <f>FX_effect!AP5</f>
        <v>9369</v>
      </c>
      <c r="AQ5" s="60">
        <f>FX_effect!AQ5</f>
        <v>2737</v>
      </c>
      <c r="AR5" s="60">
        <f>FX_effect!AR5</f>
        <v>1159</v>
      </c>
      <c r="AS5" s="60">
        <f>FX_effect!AS5</f>
        <v>0</v>
      </c>
      <c r="AT5" s="60">
        <f>FX_effect!AT5</f>
        <v>1579</v>
      </c>
      <c r="AU5" s="60">
        <f>FX_effect!AU5</f>
        <v>40757</v>
      </c>
      <c r="AV5" s="60">
        <f>FX_effect!AV5</f>
        <v>-8806</v>
      </c>
      <c r="AW5" s="60">
        <f>FX_effect!AW5</f>
        <v>-1877</v>
      </c>
      <c r="AX5" s="60">
        <f>FX_effect!AX5</f>
        <v>0</v>
      </c>
      <c r="AY5" s="60">
        <f>FX_effect!AY5</f>
        <v>-6929</v>
      </c>
      <c r="AZ5" s="60">
        <f>FX_effect!AZ5</f>
        <v>32432</v>
      </c>
      <c r="BA5" s="60">
        <f>FX_effect!BA5</f>
        <v>-5757</v>
      </c>
      <c r="BB5" s="60">
        <f>FX_effect!BB5</f>
        <v>-3369</v>
      </c>
      <c r="BC5" s="60">
        <f>FX_effect!BC5</f>
        <v>-195</v>
      </c>
      <c r="BD5" s="60">
        <f>FX_effect!BD5</f>
        <v>-2194</v>
      </c>
      <c r="BE5" s="60">
        <f>FX_effect!BE5</f>
        <v>445</v>
      </c>
      <c r="BF5" s="60">
        <f>FX_effect!BF5</f>
        <v>-23</v>
      </c>
      <c r="BG5" s="60">
        <f>FX_effect!BG5</f>
        <v>1465</v>
      </c>
      <c r="BH5" s="60">
        <f>FX_effect!BH5</f>
        <v>0</v>
      </c>
      <c r="BI5" s="60">
        <f>FX_effect!BI5</f>
        <v>-1487</v>
      </c>
      <c r="BJ5" s="60">
        <f>FX_effect!BJ5</f>
        <v>107628</v>
      </c>
      <c r="BK5" s="60">
        <f>FX_effect!BK5</f>
        <v>1955</v>
      </c>
      <c r="BL5" s="60">
        <f>FX_effect!BL5</f>
        <v>3806</v>
      </c>
      <c r="BM5" s="60">
        <f>FX_effect!BM5</f>
        <v>-5111</v>
      </c>
      <c r="BN5" s="60">
        <f>FX_effect!BN5</f>
        <v>3260</v>
      </c>
      <c r="BP5" s="54">
        <f>yield!M10</f>
        <v>-0.89967826042920995</v>
      </c>
      <c r="BR5" s="11">
        <f t="shared" ref="BR5:BR15" si="56">C5-D5</f>
        <v>-29472</v>
      </c>
      <c r="BS5" s="11">
        <f t="shared" ref="BS5:BS15" si="57">H5-I5</f>
        <v>-7125</v>
      </c>
      <c r="BT5" s="11">
        <f t="shared" ref="BT5:BT15" si="58">M5-N5</f>
        <v>-9424</v>
      </c>
      <c r="BU5" s="11">
        <f t="shared" ref="BU5:BU15" si="59">R5-S5</f>
        <v>-6694</v>
      </c>
      <c r="BV5" s="11">
        <f t="shared" ref="BV5:BV15" si="60">W5-X5</f>
        <v>-1368</v>
      </c>
      <c r="BW5" s="11">
        <f t="shared" ref="BW5:BW15" si="61">AB5-AC5</f>
        <v>-2356</v>
      </c>
      <c r="BX5" s="11">
        <f t="shared" ref="BX5:BX15" si="62">AG5-AH5</f>
        <v>-2506</v>
      </c>
      <c r="BY5" s="11">
        <f t="shared" ref="BY5:BY15" si="63">AL5-AM5</f>
        <v>-11077</v>
      </c>
      <c r="BZ5" s="11">
        <f t="shared" ref="BZ5:BZ15" si="64">AQ5-AR5</f>
        <v>1578</v>
      </c>
      <c r="CA5" s="11">
        <f t="shared" ref="CA5:CA15" si="65">AV5-AW5</f>
        <v>-6929</v>
      </c>
      <c r="CB5" s="11">
        <f t="shared" ref="CB5:CB15" si="66">BA5-BB5</f>
        <v>-2388</v>
      </c>
      <c r="CC5" s="11">
        <f t="shared" ref="CC5:CC15" si="67">BF5-BG5</f>
        <v>-1488</v>
      </c>
      <c r="CD5" s="11">
        <f t="shared" ref="CD5:CD15" si="68">BK5-BL5</f>
        <v>-1851</v>
      </c>
      <c r="CE5" s="21">
        <f t="shared" ref="CE5:CE15" si="69">((1+BR5/(B5-C5))/(1+BP5/100)-1)*100</f>
        <v>-6.9228671050233226</v>
      </c>
      <c r="CF5" s="21">
        <f t="shared" ref="CF5:CF15" si="70">((1+BS5/(G5-H5))/(1+BP5/100)-1)*100</f>
        <v>-17.268576810535286</v>
      </c>
      <c r="CG5" s="21">
        <f t="shared" ref="CG5:CG15" si="71">((1+BT5/(L5-M5))/(1+BP5/100)-1)*100</f>
        <v>-30.827696855572118</v>
      </c>
      <c r="CH5" s="21">
        <f t="shared" ref="CH5:CH15" si="72">((1+BU5/(Q5-R5))/(1+BP5/100)-1)*100</f>
        <v>-3.9161291999730286</v>
      </c>
      <c r="CI5" s="21">
        <f t="shared" ref="CI5:CI15" si="73">((1+BV5/(V5-W5))/(1+BP5/100)-1)*100</f>
        <v>-347.68289461217296</v>
      </c>
      <c r="CJ5" s="21">
        <f t="shared" ref="CJ5:CJ15" si="74">((1+BW5/(AA5-AB5))/(1+BP5/100)-1)*100</f>
        <v>-1.1229300494339234</v>
      </c>
      <c r="CK5" s="21">
        <f t="shared" ref="CK5:CK15" si="75">((1+BX5/(AF5-AG5))/(1+BP5/100)-1)*100</f>
        <v>-3.8839955908644419</v>
      </c>
      <c r="CL5" s="21">
        <f t="shared" ref="CL5:CL15" si="76">((1+BY5/(AK5-AL5))/(1+BP5/100)-1)*100</f>
        <v>-4.6663307520378723</v>
      </c>
      <c r="CM5" s="21">
        <f t="shared" ref="CM5:CM15" si="77">((1+BZ5/(AP5-AQ5))/(1+BP5/100)-1)*100</f>
        <v>24.917583726630355</v>
      </c>
      <c r="CN5" s="21">
        <f t="shared" ref="CN5:CN15" si="78">((1+CA5/(AU5-AV5))/(1+BP5/100)-1)*100</f>
        <v>-13.19925944021174</v>
      </c>
      <c r="CO5" s="21">
        <f t="shared" ref="CO5:CO15" si="79">((1+CB5/(AZ5-BA5))/(1+BP5/100)-1)*100</f>
        <v>-5.4020321829007845</v>
      </c>
      <c r="CP5" s="21">
        <f t="shared" ref="CP5:CP15" si="80">((1+CC5/(BE5-BF5))/(1+BP5/100)-1)*100</f>
        <v>-319.92735656446507</v>
      </c>
      <c r="CQ5" s="21">
        <f t="shared" ref="CQ5:CQ15" si="81">((1+CD5/(BJ5-BK5))/(1+BP5/100)-1)*100</f>
        <v>-0.85968617770360023</v>
      </c>
      <c r="CR5" s="57"/>
      <c r="CS5" s="21">
        <f t="shared" si="0"/>
        <v>-2.2565363529854503</v>
      </c>
      <c r="CT5" s="21">
        <f t="shared" si="0"/>
        <v>-42.186160537165641</v>
      </c>
      <c r="CU5" s="21">
        <f t="shared" si="0"/>
        <v>-17.628437415360377</v>
      </c>
      <c r="CV5" s="21">
        <f t="shared" si="0"/>
        <v>1.4859029829277559</v>
      </c>
      <c r="CW5" s="21">
        <f t="shared" si="0"/>
        <v>-27.755538047707887</v>
      </c>
      <c r="CX5" s="21">
        <f t="shared" si="0"/>
        <v>-0.26324387173032315</v>
      </c>
      <c r="CZ5" s="23">
        <f>Balance_on_income!B10</f>
        <v>11462.800000000001</v>
      </c>
      <c r="DA5" s="23">
        <f>Balance_on_income!C10</f>
        <v>2107</v>
      </c>
      <c r="DB5" s="23">
        <f>Balance_on_income!D10</f>
        <v>1066.4000000000001</v>
      </c>
      <c r="DC5" s="23">
        <f>Balance_on_income!E10</f>
        <v>6509.7</v>
      </c>
      <c r="DD5" s="23">
        <f>Balance_on_income!F10</f>
        <v>1779.7</v>
      </c>
      <c r="DE5" s="23">
        <f>Balance_on_income!G10</f>
        <v>3185.6</v>
      </c>
      <c r="DF5" s="23">
        <f>Balance_on_income!H10</f>
        <v>663</v>
      </c>
      <c r="DG5" s="23">
        <f>Balance_on_income!I10</f>
        <v>310.5</v>
      </c>
      <c r="DH5" s="23">
        <f>Balance_on_income!J10</f>
        <v>920.1</v>
      </c>
      <c r="DI5" s="23">
        <f>Balance_on_income!K10</f>
        <v>1292</v>
      </c>
      <c r="DJ5" s="21">
        <f t="shared" ref="DJ5:DJ15" si="82">((1+CZ5/(B5-C5))/(1+BP5/100)-1)*100</f>
        <v>3.9535129469573382</v>
      </c>
      <c r="DK5" s="21">
        <f t="shared" ref="DK5:DK15" si="83">((1+DA5/(G5-H5))/(1+BP5/100)-1)*100</f>
        <v>6.2829649373875807</v>
      </c>
      <c r="DL5" s="21">
        <f t="shared" ref="DL5:DL15" si="84">((1+DB5/(L5-M5))/(1+BP5/100)-1)*100</f>
        <v>4.4989731656686294</v>
      </c>
      <c r="DM5" s="21">
        <f t="shared" ref="DM5:DM15" si="85">((1+DC5/(Q5-R5))/(1+BP5/100)-1)*100</f>
        <v>5.5990068515252567</v>
      </c>
      <c r="DN5" s="21">
        <f t="shared" ref="DN5:DN15" si="86">((1+DD5/(AA5-AB5))/(1+BP5/100)-1)*100</f>
        <v>2.4418748375400146</v>
      </c>
      <c r="DO5" s="21">
        <f t="shared" ref="DO5:DO15" si="87">((1+DE5/(AK5-AL5))/(1+BP5/100)-1)*100</f>
        <v>2.5109061058484317</v>
      </c>
      <c r="DP5" s="21">
        <f t="shared" ref="DP5:DP15" si="88">((1+DF5/(AP5-AQ5))/(1+BP5/100)-1)*100</f>
        <v>10.995587489131363</v>
      </c>
      <c r="DQ5" s="21">
        <f t="shared" ref="DQ5:DQ15" si="89">((1+DG5/(AU5-AV5))/(1+BP5/100)-1)*100</f>
        <v>1.5400087795796713</v>
      </c>
      <c r="DR5" s="21">
        <f t="shared" ref="DR5:DR15" si="90">((1+DH5/(AZ5-BA5))/(1+BP5/100)-1)*100</f>
        <v>3.3390515112905916</v>
      </c>
      <c r="DS5" s="21">
        <f t="shared" ref="DS5:DS15" si="91">((1+DI5/(BJ5-BK5))/(1+BP5/100)-1)*100</f>
        <v>2.1415852902268773</v>
      </c>
      <c r="DU5" s="11">
        <f t="shared" ref="DU5:DU15" si="92">C5-D5-E5</f>
        <v>-13654</v>
      </c>
      <c r="DV5" s="11">
        <f t="shared" ref="DV5:DV15" si="93">H5-I5-J5</f>
        <v>-5174</v>
      </c>
      <c r="DW5" s="11">
        <f t="shared" ref="DW5:DW15" si="94">M5-N5-O5</f>
        <v>-8204</v>
      </c>
      <c r="DX5" s="11">
        <f t="shared" ref="DX5:DX15" si="95">R5-S5-T5</f>
        <v>-1975</v>
      </c>
      <c r="DY5" s="11">
        <f t="shared" ref="DY5:DY15" si="96">W5-X5-Y5</f>
        <v>-1366</v>
      </c>
      <c r="DZ5" s="11">
        <f t="shared" ref="DZ5:DZ15" si="97">AB5-AC5-AD5</f>
        <v>1737</v>
      </c>
      <c r="EA5" s="11">
        <f t="shared" ref="EA5:EA15" si="98">AG5-AH5-AI5</f>
        <v>1328</v>
      </c>
      <c r="EB5" s="11">
        <f t="shared" ref="EB5:EB15" si="99">AL5-AM5-AN5</f>
        <v>-5772</v>
      </c>
      <c r="EC5" s="11">
        <f t="shared" ref="EC5:EC15" si="100">AQ5-AR5-AS5</f>
        <v>1578</v>
      </c>
      <c r="ED5" s="11">
        <f t="shared" ref="ED5:ED15" si="101">AV5-AW5-AX5</f>
        <v>-6929</v>
      </c>
      <c r="EE5" s="11">
        <f t="shared" si="1"/>
        <v>-2193</v>
      </c>
      <c r="EF5" s="11">
        <f t="shared" si="2"/>
        <v>-1488</v>
      </c>
      <c r="EG5" s="11">
        <f t="shared" si="3"/>
        <v>3260</v>
      </c>
      <c r="EH5" s="21">
        <f t="shared" si="4"/>
        <v>-2.7200230783704482</v>
      </c>
      <c r="EI5" s="21">
        <f t="shared" si="5"/>
        <v>-12.291425819396052</v>
      </c>
      <c r="EJ5" s="21">
        <f t="shared" si="6"/>
        <v>-26.71931801149432</v>
      </c>
      <c r="EK5" s="21">
        <f t="shared" si="7"/>
        <v>-0.51542129029464867</v>
      </c>
      <c r="EL5" s="21">
        <f t="shared" si="8"/>
        <v>-347.17325902655125</v>
      </c>
      <c r="EM5" s="21">
        <f t="shared" si="9"/>
        <v>2.405069177392094</v>
      </c>
      <c r="EN5" s="21">
        <f t="shared" si="10"/>
        <v>3.447177784869182</v>
      </c>
      <c r="EO5" s="21">
        <f t="shared" si="11"/>
        <v>-1.9967444542319468</v>
      </c>
      <c r="EP5" s="21">
        <f t="shared" si="12"/>
        <v>24.917583726630355</v>
      </c>
      <c r="EQ5" s="21">
        <f t="shared" si="13"/>
        <v>-13.19925944021174</v>
      </c>
      <c r="ER5" s="21">
        <f t="shared" si="14"/>
        <v>-4.8867783150106536</v>
      </c>
      <c r="ES5" s="21">
        <f t="shared" ref="ES5:ES15" si="102">((1+EF5/(BE5-BF5))/(1+BP5/100)-1)*100</f>
        <v>-319.92735656446507</v>
      </c>
      <c r="ET5" s="21">
        <f t="shared" si="15"/>
        <v>4.0208414941362625</v>
      </c>
      <c r="EV5" s="23">
        <f t="shared" si="16"/>
        <v>-18009.199999999997</v>
      </c>
      <c r="EW5" s="23">
        <f t="shared" si="17"/>
        <v>-5018</v>
      </c>
      <c r="EX5" s="23">
        <f t="shared" si="17"/>
        <v>-8357.6</v>
      </c>
      <c r="EY5" s="23">
        <f t="shared" si="17"/>
        <v>-184.30000000000018</v>
      </c>
      <c r="EZ5" s="23">
        <f t="shared" si="18"/>
        <v>-576.29999999999995</v>
      </c>
      <c r="FA5" s="23">
        <f t="shared" si="19"/>
        <v>-2506</v>
      </c>
      <c r="FB5" s="23">
        <f t="shared" si="20"/>
        <v>-7891.4</v>
      </c>
      <c r="FC5" s="23">
        <f t="shared" si="21"/>
        <v>2241</v>
      </c>
      <c r="FD5" s="23">
        <f t="shared" si="21"/>
        <v>-6618.5</v>
      </c>
      <c r="FE5" s="23">
        <f t="shared" si="21"/>
        <v>-1467.9</v>
      </c>
      <c r="FF5" s="23">
        <f t="shared" si="22"/>
        <v>-559</v>
      </c>
      <c r="FG5" s="21">
        <f t="shared" si="23"/>
        <v>-3.8772001111734955</v>
      </c>
      <c r="FH5" s="21">
        <f t="shared" si="24"/>
        <v>-11.893457826255238</v>
      </c>
      <c r="FI5" s="21">
        <f t="shared" si="25"/>
        <v>-27.236569643011009</v>
      </c>
      <c r="FJ5" s="21">
        <f t="shared" si="26"/>
        <v>0.77503169844472808</v>
      </c>
      <c r="FK5" s="21">
        <f t="shared" si="27"/>
        <v>0.41109883499859112</v>
      </c>
      <c r="FL5" s="21">
        <f t="shared" si="28"/>
        <v>-3.8839955908644419</v>
      </c>
      <c r="FM5" s="21">
        <f t="shared" si="29"/>
        <v>-3.0632705992969522</v>
      </c>
      <c r="FN5" s="21">
        <f t="shared" si="30"/>
        <v>35.005325262654232</v>
      </c>
      <c r="FO5" s="21">
        <f t="shared" si="31"/>
        <v>-12.567096613739581</v>
      </c>
      <c r="FP5" s="21">
        <f t="shared" si="32"/>
        <v>-2.9708266247176929</v>
      </c>
      <c r="FQ5" s="21">
        <f t="shared" si="33"/>
        <v>0.37405315941576589</v>
      </c>
      <c r="FS5" s="21">
        <f t="shared" ref="FS5:FW15" si="103">FG5-FM5</f>
        <v>-0.81392951187654328</v>
      </c>
      <c r="FT5" s="21">
        <f t="shared" si="103"/>
        <v>-46.898783088909468</v>
      </c>
      <c r="FU5" s="21">
        <f t="shared" si="103"/>
        <v>-14.669473029271428</v>
      </c>
      <c r="FV5" s="21">
        <f t="shared" si="103"/>
        <v>3.745858323162421</v>
      </c>
      <c r="FW5" s="21">
        <f t="shared" si="103"/>
        <v>3.7045675582825233E-2</v>
      </c>
      <c r="FY5" s="23">
        <f t="shared" si="34"/>
        <v>-2191.1999999999989</v>
      </c>
      <c r="FZ5" s="23">
        <f t="shared" si="35"/>
        <v>-3067</v>
      </c>
      <c r="GA5" s="23">
        <f t="shared" si="35"/>
        <v>-7137.6</v>
      </c>
      <c r="GB5" s="23">
        <f t="shared" si="35"/>
        <v>4534.7</v>
      </c>
      <c r="GC5" s="23">
        <f t="shared" si="36"/>
        <v>3516.7</v>
      </c>
      <c r="GD5" s="23">
        <f t="shared" si="37"/>
        <v>1328</v>
      </c>
      <c r="GE5" s="23">
        <f t="shared" si="38"/>
        <v>-2586.4</v>
      </c>
      <c r="GF5" s="23">
        <f t="shared" si="39"/>
        <v>2241</v>
      </c>
      <c r="GG5" s="23">
        <f t="shared" si="39"/>
        <v>-6618.5</v>
      </c>
      <c r="GH5" s="23">
        <f t="shared" si="39"/>
        <v>-1272.9000000000001</v>
      </c>
      <c r="GI5" s="23">
        <f t="shared" si="40"/>
        <v>4552</v>
      </c>
      <c r="GJ5" s="21">
        <f t="shared" si="41"/>
        <v>0.32564391547937888</v>
      </c>
      <c r="GK5" s="21">
        <f t="shared" si="42"/>
        <v>-6.9163068351159929</v>
      </c>
      <c r="GL5" s="21">
        <f t="shared" si="43"/>
        <v>-23.128190798933211</v>
      </c>
      <c r="GM5" s="21">
        <f t="shared" si="44"/>
        <v>4.1757396081230969</v>
      </c>
      <c r="GN5" s="21">
        <f t="shared" si="45"/>
        <v>3.9390980618246196</v>
      </c>
      <c r="GO5" s="21">
        <f t="shared" si="46"/>
        <v>3.447177784869182</v>
      </c>
      <c r="GP5" s="21">
        <f t="shared" si="47"/>
        <v>-0.39368430149103739</v>
      </c>
      <c r="GQ5" s="21">
        <f t="shared" si="48"/>
        <v>35.005325262654232</v>
      </c>
      <c r="GR5" s="21">
        <f t="shared" si="49"/>
        <v>-12.567096613739581</v>
      </c>
      <c r="GS5" s="21">
        <f t="shared" si="50"/>
        <v>-2.455572756827562</v>
      </c>
      <c r="GT5" s="21">
        <f t="shared" si="51"/>
        <v>5.2545808312556064</v>
      </c>
      <c r="GV5" s="21">
        <f t="shared" ref="GV5:GZ15" si="104">GJ5-GP5</f>
        <v>0.71932821697041627</v>
      </c>
      <c r="GW5" s="21">
        <f t="shared" si="104"/>
        <v>-41.921632097770228</v>
      </c>
      <c r="GX5" s="21">
        <f t="shared" si="104"/>
        <v>-10.56109418519363</v>
      </c>
      <c r="GY5" s="21">
        <f t="shared" si="104"/>
        <v>6.6313123649506593</v>
      </c>
      <c r="GZ5" s="21">
        <f t="shared" si="104"/>
        <v>-1.3154827694309867</v>
      </c>
      <c r="HC5" s="44">
        <f t="shared" si="52"/>
        <v>3.3764529531061169E-2</v>
      </c>
      <c r="HD5" s="44">
        <f t="shared" si="53"/>
        <v>2.4093325303097751E-2</v>
      </c>
      <c r="HE5" s="44"/>
      <c r="HF5" s="44">
        <f t="shared" si="54"/>
        <v>4.3149518977069645</v>
      </c>
      <c r="HG5" s="44">
        <f t="shared" si="55"/>
        <v>3.3390515112905916</v>
      </c>
      <c r="HH5" s="44">
        <f t="shared" ref="HH5:HH15" si="105">HF5-HG5</f>
        <v>0.97590038641637289</v>
      </c>
    </row>
    <row r="6" spans="1:216" s="9" customFormat="1" ht="15">
      <c r="A6" s="11">
        <v>2003</v>
      </c>
      <c r="B6" s="59">
        <f>FX_effect!B6</f>
        <v>385538</v>
      </c>
      <c r="C6" s="59">
        <f>FX_effect!C6</f>
        <v>19598</v>
      </c>
      <c r="D6" s="59">
        <f>FX_effect!D6</f>
        <v>30460</v>
      </c>
      <c r="E6" s="59">
        <f>FX_effect!E6</f>
        <v>-16554</v>
      </c>
      <c r="F6" s="59">
        <f>FX_effect!F6</f>
        <v>5692</v>
      </c>
      <c r="G6" s="59">
        <f>FX_effect!G6</f>
        <v>35932</v>
      </c>
      <c r="H6" s="59">
        <f>FX_effect!H6</f>
        <v>-545</v>
      </c>
      <c r="I6" s="59">
        <f>FX_effect!I6</f>
        <v>3339</v>
      </c>
      <c r="J6" s="59">
        <f>FX_effect!J6</f>
        <v>-1701</v>
      </c>
      <c r="K6" s="59">
        <f>FX_effect!K6</f>
        <v>-2183</v>
      </c>
      <c r="L6" s="59">
        <f>FX_effect!L6</f>
        <v>29394</v>
      </c>
      <c r="M6" s="59">
        <f>FX_effect!M6</f>
        <v>4117</v>
      </c>
      <c r="N6" s="59">
        <f>FX_effect!N6</f>
        <v>687</v>
      </c>
      <c r="O6" s="59">
        <f>FX_effect!O6</f>
        <v>-1629</v>
      </c>
      <c r="P6" s="59">
        <f>FX_effect!P6</f>
        <v>5060</v>
      </c>
      <c r="Q6" s="59">
        <f>FX_effect!Q6</f>
        <v>154959</v>
      </c>
      <c r="R6" s="59">
        <f>FX_effect!R6</f>
        <v>13033</v>
      </c>
      <c r="S6" s="59">
        <f>FX_effect!S6</f>
        <v>17710</v>
      </c>
      <c r="T6" s="59">
        <f>FX_effect!T6</f>
        <v>-4054</v>
      </c>
      <c r="U6" s="59">
        <f>FX_effect!U6</f>
        <v>-623</v>
      </c>
      <c r="V6" s="59">
        <f>FX_effect!V6</f>
        <v>524</v>
      </c>
      <c r="W6" s="59">
        <f>FX_effect!W6</f>
        <v>121</v>
      </c>
      <c r="X6" s="59">
        <f>FX_effect!X6</f>
        <v>1727</v>
      </c>
      <c r="Y6" s="59">
        <f>FX_effect!Y6</f>
        <v>-2</v>
      </c>
      <c r="Z6" s="59">
        <f>FX_effect!Z6</f>
        <v>-1605</v>
      </c>
      <c r="AA6" s="60">
        <f>FX_effect!AA6</f>
        <v>92645</v>
      </c>
      <c r="AB6" s="60">
        <f>FX_effect!AB6</f>
        <v>-13148</v>
      </c>
      <c r="AC6" s="60">
        <f>FX_effect!AC6</f>
        <v>-14531</v>
      </c>
      <c r="AD6" s="60">
        <f>FX_effect!AD6</f>
        <v>-3049</v>
      </c>
      <c r="AE6" s="60">
        <f>FX_effect!AE6</f>
        <v>4433</v>
      </c>
      <c r="AF6" s="60">
        <f>FX_effect!AF6</f>
        <v>72083</v>
      </c>
      <c r="AG6" s="60">
        <f>FX_effect!AG6</f>
        <v>16020</v>
      </c>
      <c r="AH6" s="60">
        <f>FX_effect!AH6</f>
        <v>21529</v>
      </c>
      <c r="AI6" s="60">
        <f>FX_effect!AI6</f>
        <v>-6119</v>
      </c>
      <c r="AJ6" s="60">
        <f>FX_effect!AJ6</f>
        <v>611</v>
      </c>
      <c r="AK6" s="60">
        <f>FX_effect!AK6</f>
        <v>212720</v>
      </c>
      <c r="AL6" s="60">
        <f>FX_effect!AL6</f>
        <v>22089</v>
      </c>
      <c r="AM6" s="60">
        <f>FX_effect!AM6</f>
        <v>16731</v>
      </c>
      <c r="AN6" s="60">
        <f>FX_effect!AN6</f>
        <v>-6213</v>
      </c>
      <c r="AO6" s="60">
        <f>FX_effect!AO6</f>
        <v>11570</v>
      </c>
      <c r="AP6" s="60">
        <f>FX_effect!AP6</f>
        <v>9610</v>
      </c>
      <c r="AQ6" s="60">
        <f>FX_effect!AQ6</f>
        <v>241</v>
      </c>
      <c r="AR6" s="60">
        <f>FX_effect!AR6</f>
        <v>733</v>
      </c>
      <c r="AS6" s="60">
        <f>FX_effect!AS6</f>
        <v>0</v>
      </c>
      <c r="AT6" s="60">
        <f>FX_effect!AT6</f>
        <v>-493</v>
      </c>
      <c r="AU6" s="60">
        <f>FX_effect!AU6</f>
        <v>60085</v>
      </c>
      <c r="AV6" s="60">
        <f>FX_effect!AV6</f>
        <v>19328</v>
      </c>
      <c r="AW6" s="60">
        <f>FX_effect!AW6</f>
        <v>9839</v>
      </c>
      <c r="AX6" s="60">
        <f>FX_effect!AX6</f>
        <v>0</v>
      </c>
      <c r="AY6" s="60">
        <f>FX_effect!AY6</f>
        <v>9489</v>
      </c>
      <c r="AZ6" s="60">
        <f>FX_effect!AZ6</f>
        <v>32788</v>
      </c>
      <c r="BA6" s="60">
        <f>FX_effect!BA6</f>
        <v>356</v>
      </c>
      <c r="BB6" s="60">
        <f>FX_effect!BB6</f>
        <v>-306</v>
      </c>
      <c r="BC6" s="60">
        <f>FX_effect!BC6</f>
        <v>-209</v>
      </c>
      <c r="BD6" s="60">
        <f>FX_effect!BD6</f>
        <v>871</v>
      </c>
      <c r="BE6" s="60">
        <f>FX_effect!BE6</f>
        <v>727</v>
      </c>
      <c r="BF6" s="60">
        <f>FX_effect!BF6</f>
        <v>282</v>
      </c>
      <c r="BG6" s="60">
        <f>FX_effect!BG6</f>
        <v>1990</v>
      </c>
      <c r="BH6" s="60">
        <f>FX_effect!BH6</f>
        <v>0</v>
      </c>
      <c r="BI6" s="60">
        <f>FX_effect!BI6</f>
        <v>-1707</v>
      </c>
      <c r="BJ6" s="60">
        <f>FX_effect!BJ6</f>
        <v>109510</v>
      </c>
      <c r="BK6" s="60">
        <f>FX_effect!BK6</f>
        <v>1881</v>
      </c>
      <c r="BL6" s="60">
        <f>FX_effect!BL6</f>
        <v>4475</v>
      </c>
      <c r="BM6" s="60">
        <f>FX_effect!BM6</f>
        <v>-6004</v>
      </c>
      <c r="BN6" s="60">
        <f>FX_effect!BN6</f>
        <v>3410</v>
      </c>
      <c r="BP6" s="54">
        <f>yield!M11</f>
        <v>-0.247839455387176</v>
      </c>
      <c r="BR6" s="11">
        <f t="shared" si="56"/>
        <v>-10862</v>
      </c>
      <c r="BS6" s="11">
        <f t="shared" si="57"/>
        <v>-3884</v>
      </c>
      <c r="BT6" s="11">
        <f t="shared" si="58"/>
        <v>3430</v>
      </c>
      <c r="BU6" s="11">
        <f t="shared" si="59"/>
        <v>-4677</v>
      </c>
      <c r="BV6" s="11">
        <f t="shared" si="60"/>
        <v>-1606</v>
      </c>
      <c r="BW6" s="11">
        <f t="shared" si="61"/>
        <v>1383</v>
      </c>
      <c r="BX6" s="11">
        <f t="shared" si="62"/>
        <v>-5509</v>
      </c>
      <c r="BY6" s="11">
        <f t="shared" si="63"/>
        <v>5358</v>
      </c>
      <c r="BZ6" s="11">
        <f t="shared" si="64"/>
        <v>-492</v>
      </c>
      <c r="CA6" s="11">
        <f t="shared" si="65"/>
        <v>9489</v>
      </c>
      <c r="CB6" s="11">
        <f t="shared" si="66"/>
        <v>662</v>
      </c>
      <c r="CC6" s="11">
        <f t="shared" si="67"/>
        <v>-1708</v>
      </c>
      <c r="CD6" s="11">
        <f t="shared" si="68"/>
        <v>-2594</v>
      </c>
      <c r="CE6" s="21">
        <f t="shared" si="69"/>
        <v>-2.7271656977985281</v>
      </c>
      <c r="CF6" s="21">
        <f t="shared" si="70"/>
        <v>-10.425805270072209</v>
      </c>
      <c r="CG6" s="21">
        <f t="shared" si="71"/>
        <v>13.851818022606288</v>
      </c>
      <c r="CH6" s="21">
        <f t="shared" si="72"/>
        <v>-3.0551115987216937</v>
      </c>
      <c r="CI6" s="21">
        <f t="shared" si="73"/>
        <v>-399.25283284425365</v>
      </c>
      <c r="CJ6" s="21">
        <f t="shared" si="74"/>
        <v>1.5589730629098408</v>
      </c>
      <c r="CK6" s="21">
        <f t="shared" si="75"/>
        <v>-9.6024043403287411</v>
      </c>
      <c r="CL6" s="21">
        <f t="shared" si="76"/>
        <v>3.0661041026046831</v>
      </c>
      <c r="CM6" s="21">
        <f t="shared" si="77"/>
        <v>-5.0159529259844682</v>
      </c>
      <c r="CN6" s="21">
        <f t="shared" si="78"/>
        <v>23.588190525767526</v>
      </c>
      <c r="CO6" s="21">
        <f t="shared" si="79"/>
        <v>2.2947205609131105</v>
      </c>
      <c r="CP6" s="21">
        <f t="shared" si="80"/>
        <v>-384.52539089834181</v>
      </c>
      <c r="CQ6" s="21">
        <f t="shared" si="81"/>
        <v>-2.1676639696856737</v>
      </c>
      <c r="CR6" s="57"/>
      <c r="CS6" s="21">
        <f t="shared" si="0"/>
        <v>-5.7932698004032108</v>
      </c>
      <c r="CT6" s="21">
        <f t="shared" si="0"/>
        <v>-5.4098523440877404</v>
      </c>
      <c r="CU6" s="21">
        <f t="shared" si="0"/>
        <v>-9.7363725031612383</v>
      </c>
      <c r="CV6" s="21">
        <f t="shared" si="0"/>
        <v>-5.3498321596348042</v>
      </c>
      <c r="CW6" s="21">
        <f t="shared" si="0"/>
        <v>-14.727441945911835</v>
      </c>
      <c r="CX6" s="21">
        <f t="shared" si="0"/>
        <v>3.7266370325955145</v>
      </c>
      <c r="CZ6" s="23">
        <f>Balance_on_income!B11</f>
        <v>11040</v>
      </c>
      <c r="DA6" s="23">
        <f>Balance_on_income!C11</f>
        <v>1527.9</v>
      </c>
      <c r="DB6" s="23">
        <f>Balance_on_income!D11</f>
        <v>1195.3</v>
      </c>
      <c r="DC6" s="23">
        <f>Balance_on_income!E11</f>
        <v>6788.7</v>
      </c>
      <c r="DD6" s="23">
        <f>Balance_on_income!F11</f>
        <v>1528.1</v>
      </c>
      <c r="DE6" s="23">
        <f>Balance_on_income!G11</f>
        <v>2745.3</v>
      </c>
      <c r="DF6" s="23">
        <f>Balance_on_income!H11</f>
        <v>584.9</v>
      </c>
      <c r="DG6" s="23">
        <f>Balance_on_income!I11</f>
        <v>390.1</v>
      </c>
      <c r="DH6" s="23">
        <f>Balance_on_income!J11</f>
        <v>773.4</v>
      </c>
      <c r="DI6" s="23">
        <f>Balance_on_income!K11</f>
        <v>996.9</v>
      </c>
      <c r="DJ6" s="21">
        <f t="shared" si="82"/>
        <v>3.2728388558117105</v>
      </c>
      <c r="DK6" s="21">
        <f t="shared" si="83"/>
        <v>4.4475290182380611</v>
      </c>
      <c r="DL6" s="21">
        <f t="shared" si="84"/>
        <v>4.989009030544489</v>
      </c>
      <c r="DM6" s="21">
        <f t="shared" si="85"/>
        <v>5.0436068396096267</v>
      </c>
      <c r="DN6" s="21">
        <f t="shared" si="86"/>
        <v>1.6964684629194426</v>
      </c>
      <c r="DO6" s="21">
        <f t="shared" si="87"/>
        <v>1.6921453080352089</v>
      </c>
      <c r="DP6" s="21">
        <f t="shared" si="88"/>
        <v>6.5068949160801193</v>
      </c>
      <c r="DQ6" s="21">
        <f t="shared" si="89"/>
        <v>1.2079694778252659</v>
      </c>
      <c r="DR6" s="21">
        <f t="shared" si="90"/>
        <v>2.6390618877544014</v>
      </c>
      <c r="DS6" s="21">
        <f t="shared" si="91"/>
        <v>1.1769938629534904</v>
      </c>
      <c r="DU6" s="11">
        <f t="shared" si="92"/>
        <v>5692</v>
      </c>
      <c r="DV6" s="11">
        <f t="shared" si="93"/>
        <v>-2183</v>
      </c>
      <c r="DW6" s="11">
        <f t="shared" si="94"/>
        <v>5059</v>
      </c>
      <c r="DX6" s="11">
        <f t="shared" si="95"/>
        <v>-623</v>
      </c>
      <c r="DY6" s="11">
        <f t="shared" si="96"/>
        <v>-1604</v>
      </c>
      <c r="DZ6" s="11">
        <f t="shared" si="97"/>
        <v>4432</v>
      </c>
      <c r="EA6" s="11">
        <f t="shared" si="98"/>
        <v>610</v>
      </c>
      <c r="EB6" s="11">
        <f t="shared" si="99"/>
        <v>11571</v>
      </c>
      <c r="EC6" s="11">
        <f t="shared" si="100"/>
        <v>-492</v>
      </c>
      <c r="ED6" s="11">
        <f t="shared" si="101"/>
        <v>9489</v>
      </c>
      <c r="EE6" s="11">
        <f t="shared" si="1"/>
        <v>871</v>
      </c>
      <c r="EF6" s="11">
        <f t="shared" si="2"/>
        <v>-1708</v>
      </c>
      <c r="EG6" s="11">
        <f t="shared" si="3"/>
        <v>3410</v>
      </c>
      <c r="EH6" s="21">
        <f t="shared" si="4"/>
        <v>1.8077660609661539</v>
      </c>
      <c r="EI6" s="21">
        <f t="shared" si="5"/>
        <v>-5.7510068398691994</v>
      </c>
      <c r="EJ6" s="21">
        <f t="shared" si="6"/>
        <v>20.312423852502359</v>
      </c>
      <c r="EK6" s="21">
        <f t="shared" si="7"/>
        <v>-0.1915965452146895</v>
      </c>
      <c r="EL6" s="21">
        <f t="shared" si="8"/>
        <v>-398.75532190020664</v>
      </c>
      <c r="EM6" s="21">
        <f t="shared" si="9"/>
        <v>4.4481768853030346</v>
      </c>
      <c r="EN6" s="21">
        <f t="shared" si="10"/>
        <v>1.3392202164131284</v>
      </c>
      <c r="EO6" s="21">
        <f t="shared" si="11"/>
        <v>6.3333778005646657</v>
      </c>
      <c r="EP6" s="21">
        <f t="shared" si="12"/>
        <v>-5.0159529259844682</v>
      </c>
      <c r="EQ6" s="21">
        <f t="shared" si="13"/>
        <v>23.588190525767526</v>
      </c>
      <c r="ER6" s="21">
        <f t="shared" si="14"/>
        <v>2.9407469281467646</v>
      </c>
      <c r="ES6" s="21">
        <f t="shared" si="102"/>
        <v>-384.52539089834181</v>
      </c>
      <c r="ET6" s="21">
        <f t="shared" si="15"/>
        <v>3.4246180841631224</v>
      </c>
      <c r="EV6" s="23">
        <f t="shared" si="16"/>
        <v>178</v>
      </c>
      <c r="EW6" s="23">
        <f t="shared" si="17"/>
        <v>-2356.1</v>
      </c>
      <c r="EX6" s="23">
        <f t="shared" si="17"/>
        <v>4625.3</v>
      </c>
      <c r="EY6" s="23">
        <f t="shared" si="17"/>
        <v>2111.6999999999998</v>
      </c>
      <c r="EZ6" s="23">
        <f t="shared" si="18"/>
        <v>2911.1</v>
      </c>
      <c r="FA6" s="23">
        <f t="shared" si="19"/>
        <v>-5509</v>
      </c>
      <c r="FB6" s="23">
        <f t="shared" si="20"/>
        <v>8103.3</v>
      </c>
      <c r="FC6" s="23">
        <f t="shared" si="21"/>
        <v>92.899999999999977</v>
      </c>
      <c r="FD6" s="23">
        <f t="shared" si="21"/>
        <v>9879.1</v>
      </c>
      <c r="FE6" s="23">
        <f t="shared" si="21"/>
        <v>1435.4</v>
      </c>
      <c r="FF6" s="23">
        <f t="shared" si="22"/>
        <v>-1597.1</v>
      </c>
      <c r="FG6" s="21">
        <f t="shared" si="23"/>
        <v>0.29721793254833262</v>
      </c>
      <c r="FH6" s="21">
        <f t="shared" si="24"/>
        <v>-6.226731477299019</v>
      </c>
      <c r="FI6" s="21">
        <f t="shared" si="25"/>
        <v>18.592371827685938</v>
      </c>
      <c r="FJ6" s="21">
        <f t="shared" si="26"/>
        <v>1.7400400154230944</v>
      </c>
      <c r="FK6" s="21">
        <f t="shared" si="27"/>
        <v>3.0069863003644226</v>
      </c>
      <c r="FL6" s="21">
        <f t="shared" si="28"/>
        <v>-9.6024043403287411</v>
      </c>
      <c r="FM6" s="21">
        <f t="shared" si="29"/>
        <v>4.509794185175009</v>
      </c>
      <c r="FN6" s="21">
        <f t="shared" si="30"/>
        <v>1.2424867646307902</v>
      </c>
      <c r="FO6" s="21">
        <f t="shared" si="31"/>
        <v>24.547704778127954</v>
      </c>
      <c r="FP6" s="21">
        <f t="shared" si="32"/>
        <v>4.685327223202651</v>
      </c>
      <c r="FQ6" s="21">
        <f t="shared" si="33"/>
        <v>-1.2391253321970219</v>
      </c>
      <c r="FS6" s="21">
        <f t="shared" si="103"/>
        <v>-4.2125762526266763</v>
      </c>
      <c r="FT6" s="21">
        <f t="shared" si="103"/>
        <v>-7.4692182419298092</v>
      </c>
      <c r="FU6" s="21">
        <f t="shared" si="103"/>
        <v>-5.9553329504420169</v>
      </c>
      <c r="FV6" s="21">
        <f t="shared" si="103"/>
        <v>-2.9452872077795567</v>
      </c>
      <c r="FW6" s="21">
        <f t="shared" si="103"/>
        <v>4.2461116325614441</v>
      </c>
      <c r="FY6" s="23">
        <f t="shared" si="34"/>
        <v>16732</v>
      </c>
      <c r="FZ6" s="23">
        <f t="shared" si="35"/>
        <v>-655.09999999999991</v>
      </c>
      <c r="GA6" s="23">
        <f t="shared" si="35"/>
        <v>6254.3</v>
      </c>
      <c r="GB6" s="23">
        <f t="shared" si="35"/>
        <v>6165.7</v>
      </c>
      <c r="GC6" s="23">
        <f t="shared" si="36"/>
        <v>5960.1</v>
      </c>
      <c r="GD6" s="23">
        <f t="shared" si="37"/>
        <v>610</v>
      </c>
      <c r="GE6" s="23">
        <f t="shared" si="38"/>
        <v>14316.3</v>
      </c>
      <c r="GF6" s="23">
        <f t="shared" si="39"/>
        <v>92.899999999999977</v>
      </c>
      <c r="GG6" s="23">
        <f t="shared" si="39"/>
        <v>9879.1</v>
      </c>
      <c r="GH6" s="23">
        <f t="shared" si="39"/>
        <v>1644.4</v>
      </c>
      <c r="GI6" s="23">
        <f t="shared" si="40"/>
        <v>4406.8999999999996</v>
      </c>
      <c r="GJ6" s="21">
        <f t="shared" si="41"/>
        <v>4.8321496913130035</v>
      </c>
      <c r="GK6" s="21">
        <f t="shared" si="42"/>
        <v>-1.551933047095988</v>
      </c>
      <c r="GL6" s="21">
        <f t="shared" si="43"/>
        <v>25.052977657581987</v>
      </c>
      <c r="GM6" s="21">
        <f t="shared" si="44"/>
        <v>4.6035550689300875</v>
      </c>
      <c r="GN6" s="21">
        <f t="shared" si="45"/>
        <v>5.8961901227576163</v>
      </c>
      <c r="GO6" s="21">
        <f t="shared" si="46"/>
        <v>1.3392202164131284</v>
      </c>
      <c r="GP6" s="21">
        <f t="shared" si="47"/>
        <v>7.7770678831350137</v>
      </c>
      <c r="GQ6" s="21">
        <f t="shared" si="48"/>
        <v>1.2424867646307902</v>
      </c>
      <c r="GR6" s="21">
        <f t="shared" si="49"/>
        <v>24.547704778127954</v>
      </c>
      <c r="GS6" s="21">
        <f t="shared" si="50"/>
        <v>5.3313535904363274</v>
      </c>
      <c r="GT6" s="21">
        <f t="shared" si="51"/>
        <v>4.3531567216517741</v>
      </c>
      <c r="GV6" s="21">
        <f t="shared" si="104"/>
        <v>-2.9449181918220102</v>
      </c>
      <c r="GW6" s="21">
        <f t="shared" si="104"/>
        <v>-2.7944198117267782</v>
      </c>
      <c r="GX6" s="21">
        <f t="shared" si="104"/>
        <v>0.50527287945403287</v>
      </c>
      <c r="GY6" s="21">
        <f t="shared" si="104"/>
        <v>-0.72779852150623991</v>
      </c>
      <c r="GZ6" s="21">
        <f t="shared" si="104"/>
        <v>1.5430334011058422</v>
      </c>
      <c r="HC6" s="44">
        <f t="shared" si="52"/>
        <v>3.4288268540171425E-2</v>
      </c>
      <c r="HD6" s="44">
        <f t="shared" si="53"/>
        <v>2.3846817957572767E-2</v>
      </c>
      <c r="HE6" s="44"/>
      <c r="HF6" s="44">
        <f t="shared" si="54"/>
        <v>3.6858011789729472</v>
      </c>
      <c r="HG6" s="44">
        <f t="shared" si="55"/>
        <v>2.6390618877544014</v>
      </c>
      <c r="HH6" s="44">
        <f t="shared" si="105"/>
        <v>1.0467392912185458</v>
      </c>
    </row>
    <row r="7" spans="1:216" s="11" customFormat="1" ht="15">
      <c r="A7" s="11">
        <v>2004</v>
      </c>
      <c r="B7" s="59">
        <f>FX_effect!B7</f>
        <v>433864</v>
      </c>
      <c r="C7" s="59">
        <f>FX_effect!C7</f>
        <v>48326</v>
      </c>
      <c r="D7" s="59">
        <f>FX_effect!D7</f>
        <v>46865</v>
      </c>
      <c r="E7" s="59">
        <f>FX_effect!E7</f>
        <v>-3525</v>
      </c>
      <c r="F7" s="59">
        <f>FX_effect!F7</f>
        <v>4987</v>
      </c>
      <c r="G7" s="59">
        <f>FX_effect!G7</f>
        <v>38581</v>
      </c>
      <c r="H7" s="59">
        <f>FX_effect!H7</f>
        <v>2648</v>
      </c>
      <c r="I7" s="59">
        <f>FX_effect!I7</f>
        <v>3349</v>
      </c>
      <c r="J7" s="59">
        <f>FX_effect!J7</f>
        <v>-112</v>
      </c>
      <c r="K7" s="59">
        <f>FX_effect!K7</f>
        <v>-589</v>
      </c>
      <c r="L7" s="59">
        <f>FX_effect!L7</f>
        <v>37972</v>
      </c>
      <c r="M7" s="59">
        <f>FX_effect!M7</f>
        <v>8577</v>
      </c>
      <c r="N7" s="59">
        <f>FX_effect!N7</f>
        <v>3290</v>
      </c>
      <c r="O7" s="59">
        <f>FX_effect!O7</f>
        <v>-123</v>
      </c>
      <c r="P7" s="59">
        <f>FX_effect!P7</f>
        <v>5410</v>
      </c>
      <c r="Q7" s="59">
        <f>FX_effect!Q7</f>
        <v>171275</v>
      </c>
      <c r="R7" s="59">
        <f>FX_effect!R7</f>
        <v>16317</v>
      </c>
      <c r="S7" s="59">
        <f>FX_effect!S7</f>
        <v>16730</v>
      </c>
      <c r="T7" s="59">
        <f>FX_effect!T7</f>
        <v>-229</v>
      </c>
      <c r="U7" s="59">
        <f>FX_effect!U7</f>
        <v>-183</v>
      </c>
      <c r="V7" s="59">
        <f>FX_effect!V7</f>
        <v>599</v>
      </c>
      <c r="W7" s="59">
        <f>FX_effect!W7</f>
        <v>74</v>
      </c>
      <c r="X7" s="59">
        <f>FX_effect!X7</f>
        <v>2343</v>
      </c>
      <c r="Y7" s="59">
        <f>FX_effect!Y7</f>
        <v>0</v>
      </c>
      <c r="Z7" s="59">
        <f>FX_effect!Z7</f>
        <v>-2268</v>
      </c>
      <c r="AA7" s="60">
        <f>FX_effect!AA7</f>
        <v>97718</v>
      </c>
      <c r="AB7" s="60">
        <f>FX_effect!AB7</f>
        <v>5073</v>
      </c>
      <c r="AC7" s="60">
        <f>FX_effect!AC7</f>
        <v>3886</v>
      </c>
      <c r="AD7" s="60">
        <f>FX_effect!AD7</f>
        <v>-1343</v>
      </c>
      <c r="AE7" s="60">
        <f>FX_effect!AE7</f>
        <v>2531</v>
      </c>
      <c r="AF7" s="60">
        <f>FX_effect!AF7</f>
        <v>87720</v>
      </c>
      <c r="AG7" s="60">
        <f>FX_effect!AG7</f>
        <v>15636</v>
      </c>
      <c r="AH7" s="60">
        <f>FX_effect!AH7</f>
        <v>17267</v>
      </c>
      <c r="AI7" s="60">
        <f>FX_effect!AI7</f>
        <v>-1717</v>
      </c>
      <c r="AJ7" s="60">
        <f>FX_effect!AJ7</f>
        <v>86</v>
      </c>
      <c r="AK7" s="60">
        <f>FX_effect!AK7</f>
        <v>248067</v>
      </c>
      <c r="AL7" s="60">
        <f>FX_effect!AL7</f>
        <v>35347</v>
      </c>
      <c r="AM7" s="60">
        <f>FX_effect!AM7</f>
        <v>31962</v>
      </c>
      <c r="AN7" s="60">
        <f>FX_effect!AN7</f>
        <v>-1656</v>
      </c>
      <c r="AO7" s="60">
        <f>FX_effect!AO7</f>
        <v>5041</v>
      </c>
      <c r="AP7" s="60">
        <f>FX_effect!AP7</f>
        <v>10098</v>
      </c>
      <c r="AQ7" s="60">
        <f>FX_effect!AQ7</f>
        <v>488</v>
      </c>
      <c r="AR7" s="60">
        <f>FX_effect!AR7</f>
        <v>846</v>
      </c>
      <c r="AS7" s="60">
        <f>FX_effect!AS7</f>
        <v>0</v>
      </c>
      <c r="AT7" s="60">
        <f>FX_effect!AT7</f>
        <v>-357</v>
      </c>
      <c r="AU7" s="60">
        <f>FX_effect!AU7</f>
        <v>77393</v>
      </c>
      <c r="AV7" s="60">
        <f>FX_effect!AV7</f>
        <v>17307</v>
      </c>
      <c r="AW7" s="60">
        <f>FX_effect!AW7</f>
        <v>10596</v>
      </c>
      <c r="AX7" s="60">
        <f>FX_effect!AX7</f>
        <v>0</v>
      </c>
      <c r="AY7" s="60">
        <f>FX_effect!AY7</f>
        <v>6711</v>
      </c>
      <c r="AZ7" s="60">
        <f>FX_effect!AZ7</f>
        <v>42699</v>
      </c>
      <c r="BA7" s="60">
        <f>FX_effect!BA7</f>
        <v>9911</v>
      </c>
      <c r="BB7" s="60">
        <f>FX_effect!BB7</f>
        <v>11303</v>
      </c>
      <c r="BC7" s="60">
        <f>FX_effect!BC7</f>
        <v>41</v>
      </c>
      <c r="BD7" s="60">
        <f>FX_effect!BD7</f>
        <v>-1434</v>
      </c>
      <c r="BE7" s="60">
        <f>FX_effect!BE7</f>
        <v>1121</v>
      </c>
      <c r="BF7" s="60">
        <f>FX_effect!BF7</f>
        <v>395</v>
      </c>
      <c r="BG7" s="60">
        <f>FX_effect!BG7</f>
        <v>2683</v>
      </c>
      <c r="BH7" s="60">
        <f>FX_effect!BH7</f>
        <v>0</v>
      </c>
      <c r="BI7" s="60">
        <f>FX_effect!BI7</f>
        <v>-2288</v>
      </c>
      <c r="BJ7" s="60">
        <f>FX_effect!BJ7</f>
        <v>116756</v>
      </c>
      <c r="BK7" s="60">
        <f>FX_effect!BK7</f>
        <v>7246</v>
      </c>
      <c r="BL7" s="60">
        <f>FX_effect!BL7</f>
        <v>6535</v>
      </c>
      <c r="BM7" s="60">
        <f>FX_effect!BM7</f>
        <v>-1698</v>
      </c>
      <c r="BN7" s="60">
        <f>FX_effect!BN7</f>
        <v>2409</v>
      </c>
      <c r="BP7" s="54">
        <f>yield!M12</f>
        <v>-8.2754054945362292E-3</v>
      </c>
      <c r="BQ7" s="9"/>
      <c r="BR7" s="11">
        <f t="shared" si="56"/>
        <v>1461</v>
      </c>
      <c r="BS7" s="11">
        <f t="shared" si="57"/>
        <v>-701</v>
      </c>
      <c r="BT7" s="11">
        <f t="shared" si="58"/>
        <v>5287</v>
      </c>
      <c r="BU7" s="11">
        <f t="shared" si="59"/>
        <v>-413</v>
      </c>
      <c r="BV7" s="11">
        <f t="shared" si="60"/>
        <v>-2269</v>
      </c>
      <c r="BW7" s="11">
        <f t="shared" si="61"/>
        <v>1187</v>
      </c>
      <c r="BX7" s="11">
        <f t="shared" si="62"/>
        <v>-1631</v>
      </c>
      <c r="BY7" s="11">
        <f t="shared" si="63"/>
        <v>3385</v>
      </c>
      <c r="BZ7" s="11">
        <f t="shared" si="64"/>
        <v>-358</v>
      </c>
      <c r="CA7" s="11">
        <f t="shared" si="65"/>
        <v>6711</v>
      </c>
      <c r="CB7" s="11">
        <f t="shared" si="66"/>
        <v>-1392</v>
      </c>
      <c r="CC7" s="11">
        <f t="shared" si="67"/>
        <v>-2288</v>
      </c>
      <c r="CD7" s="11">
        <f t="shared" si="68"/>
        <v>711</v>
      </c>
      <c r="CE7" s="21">
        <f t="shared" si="69"/>
        <v>0.38725842510691777</v>
      </c>
      <c r="CF7" s="21">
        <f t="shared" si="70"/>
        <v>-1.9427383403535226</v>
      </c>
      <c r="CG7" s="21">
        <f t="shared" si="71"/>
        <v>17.995816681965348</v>
      </c>
      <c r="CH7" s="21">
        <f t="shared" si="72"/>
        <v>-0.2582697996428851</v>
      </c>
      <c r="CI7" s="21">
        <f t="shared" si="73"/>
        <v>-432.21796857450147</v>
      </c>
      <c r="CJ7" s="21">
        <f t="shared" si="74"/>
        <v>1.2896169476175334</v>
      </c>
      <c r="CK7" s="21">
        <f t="shared" si="75"/>
        <v>-2.2545492009993895</v>
      </c>
      <c r="CL7" s="21">
        <f t="shared" si="76"/>
        <v>1.599701506724327</v>
      </c>
      <c r="CM7" s="21">
        <f t="shared" si="77"/>
        <v>-3.7173183779244945</v>
      </c>
      <c r="CN7" s="21">
        <f t="shared" si="78"/>
        <v>11.178191558911399</v>
      </c>
      <c r="CO7" s="21">
        <f t="shared" si="79"/>
        <v>-4.2375309218799506</v>
      </c>
      <c r="CP7" s="21">
        <f t="shared" si="80"/>
        <v>-315.16932128535132</v>
      </c>
      <c r="CQ7" s="21">
        <f t="shared" si="81"/>
        <v>0.65758559909758763</v>
      </c>
      <c r="CR7" s="21"/>
      <c r="CS7" s="21">
        <f t="shared" si="0"/>
        <v>-1.2124430816174092</v>
      </c>
      <c r="CT7" s="21">
        <f t="shared" si="0"/>
        <v>1.7745800375709719</v>
      </c>
      <c r="CU7" s="21">
        <f t="shared" si="0"/>
        <v>6.8176251230539489</v>
      </c>
      <c r="CV7" s="21">
        <f t="shared" si="0"/>
        <v>3.9792611222370655</v>
      </c>
      <c r="CW7" s="21">
        <f t="shared" si="0"/>
        <v>-117.04864728915015</v>
      </c>
      <c r="CX7" s="21">
        <f t="shared" si="0"/>
        <v>0.6320313485199458</v>
      </c>
      <c r="CZ7" s="23">
        <f>Balance_on_income!B12</f>
        <v>12242.7</v>
      </c>
      <c r="DA7" s="23">
        <f>Balance_on_income!C12</f>
        <v>2054.5</v>
      </c>
      <c r="DB7" s="23">
        <f>Balance_on_income!D12</f>
        <v>1483.9</v>
      </c>
      <c r="DC7" s="23">
        <f>Balance_on_income!E12</f>
        <v>7311.7</v>
      </c>
      <c r="DD7" s="23">
        <f>Balance_on_income!F12</f>
        <v>1392.6</v>
      </c>
      <c r="DE7" s="23">
        <f>Balance_on_income!G12</f>
        <v>2956.8</v>
      </c>
      <c r="DF7" s="23">
        <f>Balance_on_income!H12</f>
        <v>687.1</v>
      </c>
      <c r="DG7" s="23">
        <f>Balance_on_income!I12</f>
        <v>650.1</v>
      </c>
      <c r="DH7" s="23">
        <f>Balance_on_income!J12</f>
        <v>714.6</v>
      </c>
      <c r="DI7" s="23">
        <f>Balance_on_income!K12</f>
        <v>905</v>
      </c>
      <c r="DJ7" s="21">
        <f t="shared" si="82"/>
        <v>3.1840235437815778</v>
      </c>
      <c r="DK7" s="21">
        <f t="shared" si="83"/>
        <v>5.7263347892773764</v>
      </c>
      <c r="DL7" s="21">
        <f t="shared" si="84"/>
        <v>5.0568313171310608</v>
      </c>
      <c r="DM7" s="21">
        <f t="shared" si="85"/>
        <v>4.7271709669862494</v>
      </c>
      <c r="DN7" s="21">
        <f t="shared" si="86"/>
        <v>1.5115577060414331</v>
      </c>
      <c r="DO7" s="21">
        <f t="shared" si="87"/>
        <v>1.3983873669072056</v>
      </c>
      <c r="DP7" s="21">
        <f t="shared" si="88"/>
        <v>7.1587117305094816</v>
      </c>
      <c r="DQ7" s="21">
        <f t="shared" si="89"/>
        <v>1.0903148396065543</v>
      </c>
      <c r="DR7" s="21">
        <f t="shared" si="90"/>
        <v>2.1879123626138641</v>
      </c>
      <c r="DS7" s="21">
        <f t="shared" si="91"/>
        <v>0.8347530318574492</v>
      </c>
      <c r="DU7" s="11">
        <f t="shared" si="92"/>
        <v>4986</v>
      </c>
      <c r="DV7" s="11">
        <f t="shared" si="93"/>
        <v>-589</v>
      </c>
      <c r="DW7" s="11">
        <f t="shared" si="94"/>
        <v>5410</v>
      </c>
      <c r="DX7" s="11">
        <f t="shared" si="95"/>
        <v>-184</v>
      </c>
      <c r="DY7" s="11">
        <f t="shared" si="96"/>
        <v>-2269</v>
      </c>
      <c r="DZ7" s="11">
        <f t="shared" si="97"/>
        <v>2530</v>
      </c>
      <c r="EA7" s="11">
        <f t="shared" si="98"/>
        <v>86</v>
      </c>
      <c r="EB7" s="11">
        <f t="shared" si="99"/>
        <v>5041</v>
      </c>
      <c r="EC7" s="11">
        <f t="shared" si="100"/>
        <v>-358</v>
      </c>
      <c r="ED7" s="11">
        <f t="shared" si="101"/>
        <v>6711</v>
      </c>
      <c r="EE7" s="11">
        <f t="shared" si="1"/>
        <v>-1433</v>
      </c>
      <c r="EF7" s="11">
        <f t="shared" si="2"/>
        <v>-2288</v>
      </c>
      <c r="EG7" s="11">
        <f t="shared" si="3"/>
        <v>2409</v>
      </c>
      <c r="EH7" s="21">
        <f t="shared" si="4"/>
        <v>1.3016408549026082</v>
      </c>
      <c r="EI7" s="21">
        <f t="shared" si="5"/>
        <v>-1.6310213414354791</v>
      </c>
      <c r="EJ7" s="21">
        <f t="shared" si="6"/>
        <v>18.414289822265275</v>
      </c>
      <c r="EK7" s="21">
        <f t="shared" si="7"/>
        <v>-0.11047558943949598</v>
      </c>
      <c r="EL7" s="21">
        <f t="shared" si="8"/>
        <v>-432.21796857450147</v>
      </c>
      <c r="EM7" s="21">
        <f t="shared" si="9"/>
        <v>2.7393564347930388</v>
      </c>
      <c r="EN7" s="21">
        <f t="shared" si="10"/>
        <v>0.12759121916559035</v>
      </c>
      <c r="EO7" s="21">
        <f t="shared" si="11"/>
        <v>2.3782540885486148</v>
      </c>
      <c r="EP7" s="21">
        <f t="shared" si="12"/>
        <v>-3.7173183779244945</v>
      </c>
      <c r="EQ7" s="21">
        <f t="shared" si="13"/>
        <v>11.178191558911399</v>
      </c>
      <c r="ER7" s="21">
        <f t="shared" si="14"/>
        <v>-4.3625870192236516</v>
      </c>
      <c r="ES7" s="21">
        <f t="shared" si="102"/>
        <v>-315.16932128535132</v>
      </c>
      <c r="ET7" s="21">
        <f t="shared" si="15"/>
        <v>2.2082572528411282</v>
      </c>
      <c r="EV7" s="23">
        <f t="shared" si="16"/>
        <v>13703.7</v>
      </c>
      <c r="EW7" s="23">
        <f t="shared" si="17"/>
        <v>1353.5</v>
      </c>
      <c r="EX7" s="23">
        <f t="shared" si="17"/>
        <v>6770.9</v>
      </c>
      <c r="EY7" s="23">
        <f t="shared" si="17"/>
        <v>6898.7</v>
      </c>
      <c r="EZ7" s="23">
        <f t="shared" si="18"/>
        <v>2579.6</v>
      </c>
      <c r="FA7" s="23">
        <f t="shared" si="19"/>
        <v>-1631</v>
      </c>
      <c r="FB7" s="23">
        <f t="shared" si="20"/>
        <v>6341.8</v>
      </c>
      <c r="FC7" s="23">
        <f t="shared" si="21"/>
        <v>329.1</v>
      </c>
      <c r="FD7" s="23">
        <f t="shared" si="21"/>
        <v>7361.1</v>
      </c>
      <c r="FE7" s="23">
        <f t="shared" si="21"/>
        <v>-677.4</v>
      </c>
      <c r="FF7" s="23">
        <f t="shared" si="22"/>
        <v>1616</v>
      </c>
      <c r="FG7" s="21">
        <f t="shared" si="23"/>
        <v>3.5630058785139251</v>
      </c>
      <c r="FH7" s="21">
        <f t="shared" si="24"/>
        <v>3.7753203585492834</v>
      </c>
      <c r="FI7" s="21">
        <f t="shared" si="25"/>
        <v>23.044371908721839</v>
      </c>
      <c r="FJ7" s="21">
        <f t="shared" si="26"/>
        <v>4.4606250769687827</v>
      </c>
      <c r="FK7" s="21">
        <f t="shared" si="27"/>
        <v>2.7928985632843961</v>
      </c>
      <c r="FL7" s="21">
        <f t="shared" si="28"/>
        <v>-2.2545492009993895</v>
      </c>
      <c r="FM7" s="21">
        <f t="shared" si="29"/>
        <v>2.9898127832569621</v>
      </c>
      <c r="FN7" s="21">
        <f t="shared" si="30"/>
        <v>3.4331172622104056</v>
      </c>
      <c r="FO7" s="21">
        <f t="shared" si="31"/>
        <v>12.260230308143383</v>
      </c>
      <c r="FP7" s="21">
        <f t="shared" si="32"/>
        <v>-2.057894649640668</v>
      </c>
      <c r="FQ7" s="21">
        <f t="shared" si="33"/>
        <v>1.4840625405804442</v>
      </c>
      <c r="FS7" s="21">
        <f t="shared" si="103"/>
        <v>0.57319309525696305</v>
      </c>
      <c r="FT7" s="21">
        <f t="shared" si="103"/>
        <v>0.3422030963388778</v>
      </c>
      <c r="FU7" s="21">
        <f t="shared" si="103"/>
        <v>10.784141600578456</v>
      </c>
      <c r="FV7" s="21">
        <f t="shared" si="103"/>
        <v>6.5185197266094512</v>
      </c>
      <c r="FW7" s="21">
        <f t="shared" si="103"/>
        <v>1.3088360227039519</v>
      </c>
      <c r="FY7" s="23">
        <f t="shared" si="34"/>
        <v>17228.7</v>
      </c>
      <c r="FZ7" s="23">
        <f t="shared" si="35"/>
        <v>1465.5</v>
      </c>
      <c r="GA7" s="23">
        <f t="shared" si="35"/>
        <v>6893.9</v>
      </c>
      <c r="GB7" s="23">
        <f t="shared" si="35"/>
        <v>7127.7</v>
      </c>
      <c r="GC7" s="23">
        <f t="shared" si="36"/>
        <v>3922.6</v>
      </c>
      <c r="GD7" s="23">
        <f t="shared" si="37"/>
        <v>86</v>
      </c>
      <c r="GE7" s="23">
        <f t="shared" si="38"/>
        <v>7997.8</v>
      </c>
      <c r="GF7" s="23">
        <f t="shared" si="39"/>
        <v>329.1</v>
      </c>
      <c r="GG7" s="23">
        <f t="shared" si="39"/>
        <v>7361.1</v>
      </c>
      <c r="GH7" s="23">
        <f t="shared" si="39"/>
        <v>-718.4</v>
      </c>
      <c r="GI7" s="23">
        <f t="shared" si="40"/>
        <v>3314</v>
      </c>
      <c r="GJ7" s="21">
        <f t="shared" si="41"/>
        <v>4.4773883083096155</v>
      </c>
      <c r="GK7" s="21">
        <f t="shared" si="42"/>
        <v>4.087037357467338</v>
      </c>
      <c r="GL7" s="21">
        <f t="shared" si="43"/>
        <v>23.462845049021741</v>
      </c>
      <c r="GM7" s="21">
        <f t="shared" si="44"/>
        <v>4.6084192871721941</v>
      </c>
      <c r="GN7" s="21">
        <f t="shared" si="45"/>
        <v>4.2426380504599015</v>
      </c>
      <c r="GO7" s="21">
        <f t="shared" si="46"/>
        <v>0.12759121916559035</v>
      </c>
      <c r="GP7" s="21">
        <f t="shared" si="47"/>
        <v>3.7683653650812055</v>
      </c>
      <c r="GQ7" s="21">
        <f t="shared" si="48"/>
        <v>3.4331172622104056</v>
      </c>
      <c r="GR7" s="21">
        <f t="shared" si="49"/>
        <v>12.260230308143383</v>
      </c>
      <c r="GS7" s="21">
        <f t="shared" si="50"/>
        <v>-2.182950746984369</v>
      </c>
      <c r="GT7" s="21">
        <f t="shared" si="51"/>
        <v>3.0347341943240069</v>
      </c>
      <c r="GV7" s="21">
        <f t="shared" si="104"/>
        <v>0.70902294322841009</v>
      </c>
      <c r="GW7" s="21">
        <f t="shared" si="104"/>
        <v>0.6539200952569324</v>
      </c>
      <c r="GX7" s="21">
        <f t="shared" si="104"/>
        <v>11.202614740878358</v>
      </c>
      <c r="GY7" s="21">
        <f t="shared" si="104"/>
        <v>6.7913700341565626</v>
      </c>
      <c r="GZ7" s="21">
        <f t="shared" si="104"/>
        <v>1.2079038561358946</v>
      </c>
      <c r="HC7" s="44">
        <f t="shared" si="52"/>
        <v>3.2204173677117011E-2</v>
      </c>
      <c r="HD7" s="44">
        <f t="shared" si="53"/>
        <v>2.1794558984994512E-2</v>
      </c>
      <c r="HE7" s="8"/>
      <c r="HF7" s="44">
        <f t="shared" si="54"/>
        <v>3.2289599827380666</v>
      </c>
      <c r="HG7" s="44">
        <f t="shared" si="55"/>
        <v>2.1879123626138641</v>
      </c>
      <c r="HH7" s="44">
        <f t="shared" si="105"/>
        <v>1.0410476201242025</v>
      </c>
    </row>
    <row r="8" spans="1:216" s="11" customFormat="1" ht="15">
      <c r="A8" s="11">
        <v>2005</v>
      </c>
      <c r="B8" s="59">
        <f>FX_effect!B8</f>
        <v>506191</v>
      </c>
      <c r="C8" s="59">
        <f>FX_effect!C8</f>
        <v>72327</v>
      </c>
      <c r="D8" s="59">
        <f>FX_effect!D8</f>
        <v>41669</v>
      </c>
      <c r="E8" s="59">
        <f>FX_effect!E8</f>
        <v>31795</v>
      </c>
      <c r="F8" s="59">
        <f>FX_effect!F8</f>
        <v>-1137</v>
      </c>
      <c r="G8" s="59">
        <f>FX_effect!G8</f>
        <v>45605</v>
      </c>
      <c r="H8" s="59">
        <f>FX_effect!H8</f>
        <v>7025</v>
      </c>
      <c r="I8" s="59">
        <f>FX_effect!I8</f>
        <v>5046</v>
      </c>
      <c r="J8" s="59">
        <f>FX_effect!J8</f>
        <v>3182</v>
      </c>
      <c r="K8" s="59">
        <f>FX_effect!K8</f>
        <v>-1203</v>
      </c>
      <c r="L8" s="59">
        <f>FX_effect!L8</f>
        <v>48200</v>
      </c>
      <c r="M8" s="59">
        <f>FX_effect!M8</f>
        <v>10228</v>
      </c>
      <c r="N8" s="59">
        <f>FX_effect!N8</f>
        <v>2541</v>
      </c>
      <c r="O8" s="59">
        <f>FX_effect!O8</f>
        <v>3519</v>
      </c>
      <c r="P8" s="59">
        <f>FX_effect!P8</f>
        <v>4168</v>
      </c>
      <c r="Q8" s="59">
        <f>FX_effect!Q8</f>
        <v>201294</v>
      </c>
      <c r="R8" s="59">
        <f>FX_effect!R8</f>
        <v>30018</v>
      </c>
      <c r="S8" s="59">
        <f>FX_effect!S8</f>
        <v>21027</v>
      </c>
      <c r="T8" s="59">
        <f>FX_effect!T8</f>
        <v>11008</v>
      </c>
      <c r="U8" s="59">
        <f>FX_effect!U8</f>
        <v>-2017</v>
      </c>
      <c r="V8" s="59">
        <f>FX_effect!V8</f>
        <v>3104</v>
      </c>
      <c r="W8" s="59">
        <f>FX_effect!W8</f>
        <v>2506</v>
      </c>
      <c r="X8" s="59">
        <f>FX_effect!X8</f>
        <v>2574</v>
      </c>
      <c r="Y8" s="59">
        <f>FX_effect!Y8</f>
        <v>2</v>
      </c>
      <c r="Z8" s="59">
        <f>FX_effect!Z8</f>
        <v>-70</v>
      </c>
      <c r="AA8" s="60">
        <f>FX_effect!AA8</f>
        <v>108544</v>
      </c>
      <c r="AB8" s="60">
        <f>FX_effect!AB8</f>
        <v>10826</v>
      </c>
      <c r="AC8" s="60">
        <f>FX_effect!AC8</f>
        <v>8025</v>
      </c>
      <c r="AD8" s="60">
        <f>FX_effect!AD8</f>
        <v>4251</v>
      </c>
      <c r="AE8" s="60">
        <f>FX_effect!AE8</f>
        <v>-1450</v>
      </c>
      <c r="AF8" s="60">
        <f>FX_effect!AF8</f>
        <v>99444</v>
      </c>
      <c r="AG8" s="60">
        <f>FX_effect!AG8</f>
        <v>11724</v>
      </c>
      <c r="AH8" s="60">
        <f>FX_effect!AH8</f>
        <v>2456</v>
      </c>
      <c r="AI8" s="60">
        <f>FX_effect!AI8</f>
        <v>9832</v>
      </c>
      <c r="AJ8" s="60">
        <f>FX_effect!AJ8</f>
        <v>-565</v>
      </c>
      <c r="AK8" s="60">
        <f>FX_effect!AK8</f>
        <v>325492</v>
      </c>
      <c r="AL8" s="60">
        <f>FX_effect!AL8</f>
        <v>77426</v>
      </c>
      <c r="AM8" s="60">
        <f>FX_effect!AM8</f>
        <v>26704</v>
      </c>
      <c r="AN8" s="60">
        <f>FX_effect!AN8</f>
        <v>7663</v>
      </c>
      <c r="AO8" s="60">
        <f>FX_effect!AO8</f>
        <v>43058</v>
      </c>
      <c r="AP8" s="60">
        <f>FX_effect!AP8</f>
        <v>11903</v>
      </c>
      <c r="AQ8" s="60">
        <f>FX_effect!AQ8</f>
        <v>1805</v>
      </c>
      <c r="AR8" s="60">
        <f>FX_effect!AR8</f>
        <v>306</v>
      </c>
      <c r="AS8" s="60">
        <f>FX_effect!AS8</f>
        <v>0</v>
      </c>
      <c r="AT8" s="60">
        <f>FX_effect!AT8</f>
        <v>1499</v>
      </c>
      <c r="AU8" s="60">
        <f>FX_effect!AU8</f>
        <v>132842</v>
      </c>
      <c r="AV8" s="60">
        <f>FX_effect!AV8</f>
        <v>55450</v>
      </c>
      <c r="AW8" s="60">
        <f>FX_effect!AW8</f>
        <v>13979</v>
      </c>
      <c r="AX8" s="60">
        <f>FX_effect!AX8</f>
        <v>0</v>
      </c>
      <c r="AY8" s="60">
        <f>FX_effect!AY8</f>
        <v>41471</v>
      </c>
      <c r="AZ8" s="60">
        <f>FX_effect!AZ8</f>
        <v>49117</v>
      </c>
      <c r="BA8" s="60">
        <f>FX_effect!BA8</f>
        <v>6419</v>
      </c>
      <c r="BB8" s="60">
        <f>FX_effect!BB8</f>
        <v>6368</v>
      </c>
      <c r="BC8" s="60">
        <f>FX_effect!BC8</f>
        <v>361</v>
      </c>
      <c r="BD8" s="60">
        <f>FX_effect!BD8</f>
        <v>-310</v>
      </c>
      <c r="BE8" s="60">
        <f>FX_effect!BE8</f>
        <v>3921</v>
      </c>
      <c r="BF8" s="60">
        <f>FX_effect!BF8</f>
        <v>2799</v>
      </c>
      <c r="BG8" s="60">
        <f>FX_effect!BG8</f>
        <v>2729</v>
      </c>
      <c r="BH8" s="60">
        <f>FX_effect!BH8</f>
        <v>0</v>
      </c>
      <c r="BI8" s="60">
        <f>FX_effect!BI8</f>
        <v>71</v>
      </c>
      <c r="BJ8" s="60">
        <f>FX_effect!BJ8</f>
        <v>127709</v>
      </c>
      <c r="BK8" s="60">
        <f>FX_effect!BK8</f>
        <v>10953</v>
      </c>
      <c r="BL8" s="60">
        <f>FX_effect!BL8</f>
        <v>3324</v>
      </c>
      <c r="BM8" s="60">
        <f>FX_effect!BM8</f>
        <v>7302</v>
      </c>
      <c r="BN8" s="60">
        <f>FX_effect!BN8</f>
        <v>327</v>
      </c>
      <c r="BP8" s="54">
        <f>yield!M13</f>
        <v>-0.27311098237193399</v>
      </c>
      <c r="BQ8" s="9"/>
      <c r="BR8" s="11">
        <f t="shared" si="56"/>
        <v>30658</v>
      </c>
      <c r="BS8" s="11">
        <f t="shared" si="57"/>
        <v>1979</v>
      </c>
      <c r="BT8" s="11">
        <f t="shared" si="58"/>
        <v>7687</v>
      </c>
      <c r="BU8" s="11">
        <f t="shared" si="59"/>
        <v>8991</v>
      </c>
      <c r="BV8" s="11">
        <f t="shared" si="60"/>
        <v>-68</v>
      </c>
      <c r="BW8" s="11">
        <f t="shared" si="61"/>
        <v>2801</v>
      </c>
      <c r="BX8" s="11">
        <f t="shared" si="62"/>
        <v>9268</v>
      </c>
      <c r="BY8" s="11">
        <f t="shared" si="63"/>
        <v>50722</v>
      </c>
      <c r="BZ8" s="11">
        <f t="shared" si="64"/>
        <v>1499</v>
      </c>
      <c r="CA8" s="11">
        <f t="shared" si="65"/>
        <v>41471</v>
      </c>
      <c r="CB8" s="11">
        <f t="shared" si="66"/>
        <v>51</v>
      </c>
      <c r="CC8" s="11">
        <f t="shared" si="67"/>
        <v>70</v>
      </c>
      <c r="CD8" s="11">
        <f t="shared" si="68"/>
        <v>7629</v>
      </c>
      <c r="CE8" s="21">
        <f t="shared" si="69"/>
        <v>7.3594801453357173</v>
      </c>
      <c r="CF8" s="21">
        <f t="shared" si="70"/>
        <v>5.4175076200985828</v>
      </c>
      <c r="CG8" s="21">
        <f t="shared" si="71"/>
        <v>20.573162448154637</v>
      </c>
      <c r="CH8" s="21">
        <f t="shared" si="72"/>
        <v>5.5376569171458945</v>
      </c>
      <c r="CI8" s="21">
        <f t="shared" si="73"/>
        <v>-11.12851968525791</v>
      </c>
      <c r="CJ8" s="21">
        <f t="shared" si="74"/>
        <v>3.148120355474604</v>
      </c>
      <c r="CK8" s="21">
        <f t="shared" si="75"/>
        <v>10.868228785290057</v>
      </c>
      <c r="CL8" s="21">
        <f t="shared" si="76"/>
        <v>20.776832614449781</v>
      </c>
      <c r="CM8" s="21">
        <f t="shared" si="77"/>
        <v>15.159035641583873</v>
      </c>
      <c r="CN8" s="21">
        <f t="shared" si="78"/>
        <v>54.006249908854386</v>
      </c>
      <c r="CO8" s="21">
        <f t="shared" si="79"/>
        <v>0.39362956158945916</v>
      </c>
      <c r="CP8" s="21">
        <f t="shared" si="80"/>
        <v>6.529803773640741</v>
      </c>
      <c r="CQ8" s="21">
        <f t="shared" si="81"/>
        <v>6.8258928184308898</v>
      </c>
      <c r="CR8" s="21"/>
      <c r="CS8" s="21">
        <f t="shared" si="0"/>
        <v>-13.417352469114064</v>
      </c>
      <c r="CT8" s="21">
        <f t="shared" si="0"/>
        <v>-9.7415280214852906</v>
      </c>
      <c r="CU8" s="21">
        <f t="shared" si="0"/>
        <v>-33.433087460699753</v>
      </c>
      <c r="CV8" s="21">
        <f t="shared" si="0"/>
        <v>5.1440273555564353</v>
      </c>
      <c r="CW8" s="21">
        <f t="shared" si="0"/>
        <v>-17.65832345889865</v>
      </c>
      <c r="CX8" s="21">
        <f t="shared" si="0"/>
        <v>-3.6777724629562858</v>
      </c>
      <c r="CZ8" s="23">
        <f>Balance_on_income!B13</f>
        <v>15559.7</v>
      </c>
      <c r="DA8" s="23">
        <f>Balance_on_income!C13</f>
        <v>3350.4</v>
      </c>
      <c r="DB8" s="23">
        <f>Balance_on_income!D13</f>
        <v>2080.1999999999998</v>
      </c>
      <c r="DC8" s="23">
        <f>Balance_on_income!E13</f>
        <v>8441.9</v>
      </c>
      <c r="DD8" s="23">
        <f>Balance_on_income!F13</f>
        <v>1687.2</v>
      </c>
      <c r="DE8" s="23">
        <f>Balance_on_income!G13</f>
        <v>4125.3999999999996</v>
      </c>
      <c r="DF8" s="23">
        <f>Balance_on_income!H13</f>
        <v>1044.0999999999999</v>
      </c>
      <c r="DG8" s="23">
        <f>Balance_on_income!I13</f>
        <v>1104.8</v>
      </c>
      <c r="DH8" s="23">
        <f>Balance_on_income!J13</f>
        <v>769.3</v>
      </c>
      <c r="DI8" s="23">
        <f>Balance_on_income!K13</f>
        <v>1207.2</v>
      </c>
      <c r="DJ8" s="21">
        <f t="shared" si="82"/>
        <v>3.8699884978393273</v>
      </c>
      <c r="DK8" s="21">
        <f t="shared" si="83"/>
        <v>8.9819340100540259</v>
      </c>
      <c r="DL8" s="21">
        <f t="shared" si="84"/>
        <v>5.7671087191129677</v>
      </c>
      <c r="DM8" s="21">
        <f t="shared" si="85"/>
        <v>5.2161852811104303</v>
      </c>
      <c r="DN8" s="21">
        <f t="shared" si="86"/>
        <v>2.0051884077639581</v>
      </c>
      <c r="DO8" s="21">
        <f t="shared" si="87"/>
        <v>1.9414384265892703</v>
      </c>
      <c r="DP8" s="21">
        <f t="shared" si="88"/>
        <v>10.641846255246335</v>
      </c>
      <c r="DQ8" s="21">
        <f t="shared" si="89"/>
        <v>1.7053060905863227</v>
      </c>
      <c r="DR8" s="21">
        <f t="shared" si="90"/>
        <v>2.080516836475188</v>
      </c>
      <c r="DS8" s="21">
        <f t="shared" si="91"/>
        <v>1.3106416345951999</v>
      </c>
      <c r="DU8" s="11">
        <f t="shared" si="92"/>
        <v>-1137</v>
      </c>
      <c r="DV8" s="11">
        <f t="shared" si="93"/>
        <v>-1203</v>
      </c>
      <c r="DW8" s="11">
        <f t="shared" si="94"/>
        <v>4168</v>
      </c>
      <c r="DX8" s="11">
        <f t="shared" si="95"/>
        <v>-2017</v>
      </c>
      <c r="DY8" s="11">
        <f t="shared" si="96"/>
        <v>-70</v>
      </c>
      <c r="DZ8" s="11">
        <f t="shared" si="97"/>
        <v>-1450</v>
      </c>
      <c r="EA8" s="11">
        <f t="shared" si="98"/>
        <v>-564</v>
      </c>
      <c r="EB8" s="11">
        <f t="shared" si="99"/>
        <v>43059</v>
      </c>
      <c r="EC8" s="11">
        <f t="shared" si="100"/>
        <v>1499</v>
      </c>
      <c r="ED8" s="11">
        <f t="shared" si="101"/>
        <v>41471</v>
      </c>
      <c r="EE8" s="11">
        <f t="shared" si="1"/>
        <v>-310</v>
      </c>
      <c r="EF8" s="11">
        <f t="shared" si="2"/>
        <v>70</v>
      </c>
      <c r="EG8" s="11">
        <f t="shared" si="3"/>
        <v>327</v>
      </c>
      <c r="EH8" s="21">
        <f t="shared" si="4"/>
        <v>1.1077548212345967E-2</v>
      </c>
      <c r="EI8" s="21">
        <f t="shared" si="5"/>
        <v>-2.852876493098333</v>
      </c>
      <c r="EJ8" s="21">
        <f t="shared" si="6"/>
        <v>11.280428076945114</v>
      </c>
      <c r="EK8" s="21">
        <f t="shared" si="7"/>
        <v>-0.90699755285660322</v>
      </c>
      <c r="EL8" s="21">
        <f t="shared" si="8"/>
        <v>-11.463883761917316</v>
      </c>
      <c r="EM8" s="21">
        <f t="shared" si="9"/>
        <v>-1.2140664911028831</v>
      </c>
      <c r="EN8" s="21">
        <f t="shared" si="10"/>
        <v>-0.37085672443250006</v>
      </c>
      <c r="EO8" s="21">
        <f t="shared" si="11"/>
        <v>17.67927558965452</v>
      </c>
      <c r="EP8" s="21">
        <f t="shared" si="12"/>
        <v>15.159035641583873</v>
      </c>
      <c r="EQ8" s="21">
        <f t="shared" si="13"/>
        <v>54.006249908854386</v>
      </c>
      <c r="ER8" s="21">
        <f t="shared" si="14"/>
        <v>-0.45415869712379653</v>
      </c>
      <c r="ES8" s="21">
        <f t="shared" si="102"/>
        <v>6.529803773640741</v>
      </c>
      <c r="ET8" s="21">
        <f t="shared" si="15"/>
        <v>0.55469718101333054</v>
      </c>
      <c r="EV8" s="23">
        <f t="shared" si="16"/>
        <v>46217.7</v>
      </c>
      <c r="EW8" s="23">
        <f t="shared" si="17"/>
        <v>5329.4</v>
      </c>
      <c r="EX8" s="23">
        <f t="shared" si="17"/>
        <v>9767.2000000000007</v>
      </c>
      <c r="EY8" s="23">
        <f t="shared" si="17"/>
        <v>17432.900000000001</v>
      </c>
      <c r="EZ8" s="23">
        <f t="shared" si="18"/>
        <v>4488.2</v>
      </c>
      <c r="FA8" s="23">
        <f t="shared" si="19"/>
        <v>9268</v>
      </c>
      <c r="FB8" s="23">
        <f t="shared" si="20"/>
        <v>54847.4</v>
      </c>
      <c r="FC8" s="23">
        <f t="shared" si="21"/>
        <v>2543.1</v>
      </c>
      <c r="FD8" s="23">
        <f t="shared" si="21"/>
        <v>42575.8</v>
      </c>
      <c r="FE8" s="23">
        <f t="shared" si="21"/>
        <v>820.3</v>
      </c>
      <c r="FF8" s="23">
        <f t="shared" si="22"/>
        <v>8836.2000000000007</v>
      </c>
      <c r="FG8" s="21">
        <f t="shared" si="23"/>
        <v>10.955609722013193</v>
      </c>
      <c r="FH8" s="21">
        <f t="shared" si="24"/>
        <v>14.125582708990759</v>
      </c>
      <c r="FI8" s="21">
        <f t="shared" si="25"/>
        <v>26.066412246105774</v>
      </c>
      <c r="FJ8" s="21">
        <f t="shared" si="26"/>
        <v>10.479983277094496</v>
      </c>
      <c r="FK8" s="21">
        <f t="shared" si="27"/>
        <v>4.8794498420767107</v>
      </c>
      <c r="FL8" s="21">
        <f t="shared" si="28"/>
        <v>10.868228785290057</v>
      </c>
      <c r="FM8" s="21">
        <f t="shared" si="29"/>
        <v>22.444412119877221</v>
      </c>
      <c r="FN8" s="21">
        <f t="shared" si="30"/>
        <v>25.527022975668334</v>
      </c>
      <c r="FO8" s="21">
        <f t="shared" si="31"/>
        <v>55.43769707827888</v>
      </c>
      <c r="FP8" s="21">
        <f t="shared" si="32"/>
        <v>2.2002874769028402</v>
      </c>
      <c r="FQ8" s="21">
        <f t="shared" si="33"/>
        <v>7.8626755318642383</v>
      </c>
      <c r="FS8" s="21">
        <f t="shared" si="103"/>
        <v>-11.488802397864028</v>
      </c>
      <c r="FT8" s="21">
        <f t="shared" si="103"/>
        <v>-11.401440266677575</v>
      </c>
      <c r="FU8" s="21">
        <f t="shared" si="103"/>
        <v>-29.371284832173107</v>
      </c>
      <c r="FV8" s="21">
        <f t="shared" si="103"/>
        <v>8.2796958001916554</v>
      </c>
      <c r="FW8" s="21">
        <f t="shared" si="103"/>
        <v>-2.9832256897875276</v>
      </c>
      <c r="FY8" s="23">
        <f t="shared" si="34"/>
        <v>14422.7</v>
      </c>
      <c r="FZ8" s="23">
        <f t="shared" si="35"/>
        <v>2147.4</v>
      </c>
      <c r="GA8" s="23">
        <f t="shared" si="35"/>
        <v>6248.2</v>
      </c>
      <c r="GB8" s="23">
        <f t="shared" si="35"/>
        <v>6424.9</v>
      </c>
      <c r="GC8" s="23">
        <f t="shared" si="36"/>
        <v>237.20000000000005</v>
      </c>
      <c r="GD8" s="23">
        <f t="shared" si="37"/>
        <v>-564</v>
      </c>
      <c r="GE8" s="23">
        <f t="shared" si="38"/>
        <v>47184.4</v>
      </c>
      <c r="GF8" s="23">
        <f t="shared" si="39"/>
        <v>2543.1</v>
      </c>
      <c r="GG8" s="23">
        <f t="shared" si="39"/>
        <v>42575.8</v>
      </c>
      <c r="GH8" s="23">
        <f t="shared" si="39"/>
        <v>459.29999999999995</v>
      </c>
      <c r="GI8" s="23">
        <f t="shared" si="40"/>
        <v>1534.2</v>
      </c>
      <c r="GJ8" s="21">
        <f t="shared" si="41"/>
        <v>3.6072071248898441</v>
      </c>
      <c r="GK8" s="21">
        <f t="shared" si="42"/>
        <v>5.8551985957938424</v>
      </c>
      <c r="GL8" s="21">
        <f t="shared" si="43"/>
        <v>16.773677874896254</v>
      </c>
      <c r="GM8" s="21">
        <f t="shared" si="44"/>
        <v>4.0353288070919868</v>
      </c>
      <c r="GN8" s="21">
        <f t="shared" si="45"/>
        <v>0.51726299549921251</v>
      </c>
      <c r="GO8" s="21">
        <f t="shared" si="46"/>
        <v>-0.37085672443250006</v>
      </c>
      <c r="GP8" s="21">
        <f t="shared" si="47"/>
        <v>19.34685509508196</v>
      </c>
      <c r="GQ8" s="21">
        <f t="shared" si="48"/>
        <v>25.527022975668334</v>
      </c>
      <c r="GR8" s="21">
        <f t="shared" si="49"/>
        <v>55.43769707827888</v>
      </c>
      <c r="GS8" s="21">
        <f t="shared" si="50"/>
        <v>1.3524992181895401</v>
      </c>
      <c r="GT8" s="21">
        <f t="shared" si="51"/>
        <v>1.591479894446679</v>
      </c>
      <c r="GV8" s="21">
        <f t="shared" si="104"/>
        <v>-15.739647970192117</v>
      </c>
      <c r="GW8" s="21">
        <f t="shared" si="104"/>
        <v>-19.671824379874494</v>
      </c>
      <c r="GX8" s="21">
        <f t="shared" si="104"/>
        <v>-38.664019203382622</v>
      </c>
      <c r="GY8" s="21">
        <f t="shared" si="104"/>
        <v>2.6828295889024467</v>
      </c>
      <c r="GZ8" s="21">
        <f t="shared" si="104"/>
        <v>-1.0742168989474665</v>
      </c>
      <c r="HC8" s="44">
        <f t="shared" si="52"/>
        <v>3.2594711887442278E-2</v>
      </c>
      <c r="HD8" s="44">
        <f t="shared" si="53"/>
        <v>1.8017237341327461E-2</v>
      </c>
      <c r="HE8" s="8"/>
      <c r="HF8" s="44">
        <f t="shared" si="54"/>
        <v>3.5422564625391395</v>
      </c>
      <c r="HG8" s="44">
        <f t="shared" si="55"/>
        <v>2.080516836475188</v>
      </c>
      <c r="HH8" s="44">
        <f t="shared" si="105"/>
        <v>1.4617396260639515</v>
      </c>
    </row>
    <row r="9" spans="1:216" s="11" customFormat="1" ht="15">
      <c r="A9" s="11">
        <v>2006</v>
      </c>
      <c r="B9" s="59">
        <f>FX_effect!B9</f>
        <v>558106</v>
      </c>
      <c r="C9" s="59">
        <f>FX_effect!C9</f>
        <v>51915</v>
      </c>
      <c r="D9" s="59">
        <f>FX_effect!D9</f>
        <v>27737</v>
      </c>
      <c r="E9" s="59">
        <f>FX_effect!E9</f>
        <v>16391</v>
      </c>
      <c r="F9" s="59">
        <f>FX_effect!F9</f>
        <v>7787</v>
      </c>
      <c r="G9" s="59">
        <f>FX_effect!G9</f>
        <v>53476</v>
      </c>
      <c r="H9" s="59">
        <f>FX_effect!H9</f>
        <v>7871</v>
      </c>
      <c r="I9" s="59">
        <f>FX_effect!I9</f>
        <v>5846</v>
      </c>
      <c r="J9" s="59">
        <f>FX_effect!J9</f>
        <v>2145</v>
      </c>
      <c r="K9" s="59">
        <f>FX_effect!K9</f>
        <v>-120</v>
      </c>
      <c r="L9" s="59">
        <f>FX_effect!L9</f>
        <v>60714</v>
      </c>
      <c r="M9" s="59">
        <f>FX_effect!M9</f>
        <v>12515</v>
      </c>
      <c r="N9" s="59">
        <f>FX_effect!N9</f>
        <v>3055</v>
      </c>
      <c r="O9" s="59">
        <f>FX_effect!O9</f>
        <v>2837</v>
      </c>
      <c r="P9" s="59">
        <f>FX_effect!P9</f>
        <v>6623</v>
      </c>
      <c r="Q9" s="59">
        <f>FX_effect!Q9</f>
        <v>218043</v>
      </c>
      <c r="R9" s="59">
        <f>FX_effect!R9</f>
        <v>16749</v>
      </c>
      <c r="S9" s="59">
        <f>FX_effect!S9</f>
        <v>6634</v>
      </c>
      <c r="T9" s="59">
        <f>FX_effect!T9</f>
        <v>7784</v>
      </c>
      <c r="U9" s="59">
        <f>FX_effect!U9</f>
        <v>2331</v>
      </c>
      <c r="V9" s="59">
        <f>FX_effect!V9</f>
        <v>2739</v>
      </c>
      <c r="W9" s="59">
        <f>FX_effect!W9</f>
        <v>-365</v>
      </c>
      <c r="X9" s="59">
        <f>FX_effect!X9</f>
        <v>2451</v>
      </c>
      <c r="Y9" s="59">
        <f>FX_effect!Y9</f>
        <v>1</v>
      </c>
      <c r="Z9" s="59">
        <f>FX_effect!Z9</f>
        <v>-2817</v>
      </c>
      <c r="AA9" s="60">
        <f>FX_effect!AA9</f>
        <v>116698</v>
      </c>
      <c r="AB9" s="60">
        <f>FX_effect!AB9</f>
        <v>8154</v>
      </c>
      <c r="AC9" s="60">
        <f>FX_effect!AC9</f>
        <v>6031</v>
      </c>
      <c r="AD9" s="60">
        <f>FX_effect!AD9</f>
        <v>706</v>
      </c>
      <c r="AE9" s="60">
        <f>FX_effect!AE9</f>
        <v>1416</v>
      </c>
      <c r="AF9" s="60">
        <f>FX_effect!AF9</f>
        <v>106435</v>
      </c>
      <c r="AG9" s="60">
        <f>FX_effect!AG9</f>
        <v>6992</v>
      </c>
      <c r="AH9" s="60">
        <f>FX_effect!AH9</f>
        <v>3720</v>
      </c>
      <c r="AI9" s="60">
        <f>FX_effect!AI9</f>
        <v>2919</v>
      </c>
      <c r="AJ9" s="60">
        <f>FX_effect!AJ9</f>
        <v>354</v>
      </c>
      <c r="AK9" s="60">
        <f>FX_effect!AK9</f>
        <v>343024</v>
      </c>
      <c r="AL9" s="60">
        <f>FX_effect!AL9</f>
        <v>17532</v>
      </c>
      <c r="AM9" s="60">
        <f>FX_effect!AM9</f>
        <v>12202</v>
      </c>
      <c r="AN9" s="60">
        <f>FX_effect!AN9</f>
        <v>1184</v>
      </c>
      <c r="AO9" s="60">
        <f>FX_effect!AO9</f>
        <v>4146</v>
      </c>
      <c r="AP9" s="60">
        <f>FX_effect!AP9</f>
        <v>12803</v>
      </c>
      <c r="AQ9" s="60">
        <f>FX_effect!AQ9</f>
        <v>900</v>
      </c>
      <c r="AR9" s="60">
        <f>FX_effect!AR9</f>
        <v>-757</v>
      </c>
      <c r="AS9" s="60">
        <f>FX_effect!AS9</f>
        <v>0</v>
      </c>
      <c r="AT9" s="60">
        <f>FX_effect!AT9</f>
        <v>1657</v>
      </c>
      <c r="AU9" s="60">
        <f>FX_effect!AU9</f>
        <v>149277</v>
      </c>
      <c r="AV9" s="60">
        <f>FX_effect!AV9</f>
        <v>16434</v>
      </c>
      <c r="AW9" s="60">
        <f>FX_effect!AW9</f>
        <v>9855</v>
      </c>
      <c r="AX9" s="60">
        <f>FX_effect!AX9</f>
        <v>0</v>
      </c>
      <c r="AY9" s="60">
        <f>FX_effect!AY9</f>
        <v>6579</v>
      </c>
      <c r="AZ9" s="60">
        <f>FX_effect!AZ9</f>
        <v>60419</v>
      </c>
      <c r="BA9" s="60">
        <f>FX_effect!BA9</f>
        <v>11302</v>
      </c>
      <c r="BB9" s="60">
        <f>FX_effect!BB9</f>
        <v>12343</v>
      </c>
      <c r="BC9" s="60">
        <f>FX_effect!BC9</f>
        <v>448</v>
      </c>
      <c r="BD9" s="60">
        <f>FX_effect!BD9</f>
        <v>-1489</v>
      </c>
      <c r="BE9" s="60">
        <f>FX_effect!BE9</f>
        <v>3587</v>
      </c>
      <c r="BF9" s="60">
        <f>FX_effect!BF9</f>
        <v>-334</v>
      </c>
      <c r="BG9" s="60">
        <f>FX_effect!BG9</f>
        <v>2837</v>
      </c>
      <c r="BH9" s="60">
        <f>FX_effect!BH9</f>
        <v>0</v>
      </c>
      <c r="BI9" s="60">
        <f>FX_effect!BI9</f>
        <v>-3170</v>
      </c>
      <c r="BJ9" s="60">
        <f>FX_effect!BJ9</f>
        <v>116938</v>
      </c>
      <c r="BK9" s="60">
        <f>FX_effect!BK9</f>
        <v>-10771</v>
      </c>
      <c r="BL9" s="60">
        <f>FX_effect!BL9</f>
        <v>-12077</v>
      </c>
      <c r="BM9" s="60">
        <f>FX_effect!BM9</f>
        <v>736</v>
      </c>
      <c r="BN9" s="60">
        <f>FX_effect!BN9</f>
        <v>570</v>
      </c>
      <c r="BP9" s="54">
        <f>yield!M14</f>
        <v>0.24066390041427599</v>
      </c>
      <c r="BQ9" s="9"/>
      <c r="BR9" s="11">
        <f t="shared" si="56"/>
        <v>24178</v>
      </c>
      <c r="BS9" s="11">
        <f t="shared" si="57"/>
        <v>2025</v>
      </c>
      <c r="BT9" s="11">
        <f t="shared" si="58"/>
        <v>9460</v>
      </c>
      <c r="BU9" s="11">
        <f t="shared" si="59"/>
        <v>10115</v>
      </c>
      <c r="BV9" s="11">
        <f t="shared" si="60"/>
        <v>-2816</v>
      </c>
      <c r="BW9" s="11">
        <f t="shared" si="61"/>
        <v>2123</v>
      </c>
      <c r="BX9" s="11">
        <f t="shared" si="62"/>
        <v>3272</v>
      </c>
      <c r="BY9" s="11">
        <f t="shared" si="63"/>
        <v>5330</v>
      </c>
      <c r="BZ9" s="11">
        <f t="shared" si="64"/>
        <v>1657</v>
      </c>
      <c r="CA9" s="11">
        <f t="shared" si="65"/>
        <v>6579</v>
      </c>
      <c r="CB9" s="11">
        <f t="shared" si="66"/>
        <v>-1041</v>
      </c>
      <c r="CC9" s="11">
        <f t="shared" si="67"/>
        <v>-3171</v>
      </c>
      <c r="CD9" s="11">
        <f t="shared" si="68"/>
        <v>1306</v>
      </c>
      <c r="CE9" s="21">
        <f t="shared" si="69"/>
        <v>4.5249041869825257</v>
      </c>
      <c r="CF9" s="21">
        <f t="shared" si="70"/>
        <v>4.1895559492275636</v>
      </c>
      <c r="CG9" s="21">
        <f t="shared" si="71"/>
        <v>19.339755504662072</v>
      </c>
      <c r="CH9" s="21">
        <f t="shared" si="72"/>
        <v>4.7728379272034438</v>
      </c>
      <c r="CI9" s="21">
        <f t="shared" si="73"/>
        <v>-90.743925514418336</v>
      </c>
      <c r="CJ9" s="21">
        <f t="shared" si="74"/>
        <v>1.7111069390180811</v>
      </c>
      <c r="CK9" s="21">
        <f t="shared" si="75"/>
        <v>3.0423414041684582</v>
      </c>
      <c r="CL9" s="21">
        <f t="shared" si="76"/>
        <v>1.3935034848108652</v>
      </c>
      <c r="CM9" s="21">
        <f t="shared" si="77"/>
        <v>13.647352136952161</v>
      </c>
      <c r="CN9" s="21">
        <f t="shared" si="78"/>
        <v>4.700486407171045</v>
      </c>
      <c r="CO9" s="21">
        <f t="shared" si="79"/>
        <v>-2.3544267633610838</v>
      </c>
      <c r="CP9" s="21">
        <f t="shared" si="80"/>
        <v>-80.918149598286533</v>
      </c>
      <c r="CQ9" s="21">
        <f t="shared" si="81"/>
        <v>0.78009609212255082</v>
      </c>
      <c r="CR9" s="21"/>
      <c r="CS9" s="21">
        <f t="shared" si="0"/>
        <v>3.1314007021716606</v>
      </c>
      <c r="CT9" s="21">
        <f t="shared" si="0"/>
        <v>-9.4577961877245968</v>
      </c>
      <c r="CU9" s="21">
        <f t="shared" si="0"/>
        <v>14.639269097491027</v>
      </c>
      <c r="CV9" s="21">
        <f t="shared" si="0"/>
        <v>7.1272646905645276</v>
      </c>
      <c r="CW9" s="21">
        <f t="shared" si="0"/>
        <v>-9.8257759161318035</v>
      </c>
      <c r="CX9" s="21">
        <f t="shared" si="0"/>
        <v>0.93101084689553026</v>
      </c>
      <c r="CZ9" s="23">
        <f>Balance_on_income!B14</f>
        <v>19330.900000000001</v>
      </c>
      <c r="DA9" s="23">
        <f>Balance_on_income!C14</f>
        <v>4082.7</v>
      </c>
      <c r="DB9" s="23">
        <f>Balance_on_income!D14</f>
        <v>2705.9</v>
      </c>
      <c r="DC9" s="23">
        <f>Balance_on_income!E14</f>
        <v>10303.4</v>
      </c>
      <c r="DD9" s="23">
        <f>Balance_on_income!F14</f>
        <v>2238.9</v>
      </c>
      <c r="DE9" s="23">
        <f>Balance_on_income!G14</f>
        <v>5516.7</v>
      </c>
      <c r="DF9" s="23">
        <f>Balance_on_income!H14</f>
        <v>1048.8</v>
      </c>
      <c r="DG9" s="23">
        <f>Balance_on_income!I14</f>
        <v>1609</v>
      </c>
      <c r="DH9" s="23">
        <f>Balance_on_income!J14</f>
        <v>844.7</v>
      </c>
      <c r="DI9" s="23">
        <f>Balance_on_income!K14</f>
        <v>2014.2</v>
      </c>
      <c r="DJ9" s="21">
        <f t="shared" si="82"/>
        <v>3.5696397143517355</v>
      </c>
      <c r="DK9" s="21">
        <f t="shared" si="83"/>
        <v>8.6907285143488231</v>
      </c>
      <c r="DL9" s="21">
        <f t="shared" si="84"/>
        <v>5.3604523142834815</v>
      </c>
      <c r="DM9" s="21">
        <f t="shared" si="85"/>
        <v>4.8662076639009566</v>
      </c>
      <c r="DN9" s="21">
        <f t="shared" si="86"/>
        <v>1.8176275575785494</v>
      </c>
      <c r="DO9" s="21">
        <f t="shared" si="87"/>
        <v>1.450725093714178</v>
      </c>
      <c r="DP9" s="21">
        <f t="shared" si="88"/>
        <v>8.5499834371222327</v>
      </c>
      <c r="DQ9" s="21">
        <f t="shared" si="89"/>
        <v>0.96821017068295934</v>
      </c>
      <c r="DR9" s="21">
        <f t="shared" si="90"/>
        <v>1.4755561273188889</v>
      </c>
      <c r="DS9" s="21">
        <f t="shared" si="91"/>
        <v>1.3333066804451565</v>
      </c>
      <c r="DU9" s="11">
        <f t="shared" si="92"/>
        <v>7787</v>
      </c>
      <c r="DV9" s="11">
        <f t="shared" si="93"/>
        <v>-120</v>
      </c>
      <c r="DW9" s="11">
        <f t="shared" si="94"/>
        <v>6623</v>
      </c>
      <c r="DX9" s="11">
        <f t="shared" si="95"/>
        <v>2331</v>
      </c>
      <c r="DY9" s="11">
        <f t="shared" si="96"/>
        <v>-2817</v>
      </c>
      <c r="DZ9" s="11">
        <f t="shared" si="97"/>
        <v>1417</v>
      </c>
      <c r="EA9" s="11">
        <f t="shared" si="98"/>
        <v>353</v>
      </c>
      <c r="EB9" s="11">
        <f t="shared" si="99"/>
        <v>4146</v>
      </c>
      <c r="EC9" s="11">
        <f t="shared" si="100"/>
        <v>1657</v>
      </c>
      <c r="ED9" s="11">
        <f t="shared" si="101"/>
        <v>6579</v>
      </c>
      <c r="EE9" s="11">
        <f t="shared" si="1"/>
        <v>-1489</v>
      </c>
      <c r="EF9" s="11">
        <f t="shared" si="2"/>
        <v>-3171</v>
      </c>
      <c r="EG9" s="11">
        <f t="shared" si="3"/>
        <v>570</v>
      </c>
      <c r="EH9" s="21">
        <f t="shared" si="4"/>
        <v>1.2945726545422254</v>
      </c>
      <c r="EI9" s="21">
        <f t="shared" si="5"/>
        <v>-0.50258340645358279</v>
      </c>
      <c r="EJ9" s="21">
        <f t="shared" si="6"/>
        <v>13.467872774008981</v>
      </c>
      <c r="EK9" s="21">
        <f t="shared" si="7"/>
        <v>0.91514137490269487</v>
      </c>
      <c r="EL9" s="21">
        <f t="shared" si="8"/>
        <v>-90.77606466193771</v>
      </c>
      <c r="EM9" s="21">
        <f t="shared" si="9"/>
        <v>1.0622410485634282</v>
      </c>
      <c r="EN9" s="21">
        <f t="shared" si="10"/>
        <v>0.1140388723204433</v>
      </c>
      <c r="EO9" s="21">
        <f t="shared" si="11"/>
        <v>1.0306197947115958</v>
      </c>
      <c r="EP9" s="21">
        <f t="shared" si="12"/>
        <v>13.647352136952161</v>
      </c>
      <c r="EQ9" s="21">
        <f t="shared" si="13"/>
        <v>4.700486407171045</v>
      </c>
      <c r="ER9" s="21">
        <f t="shared" si="14"/>
        <v>-3.2643447434345996</v>
      </c>
      <c r="ES9" s="21">
        <f t="shared" si="102"/>
        <v>-80.918149598286533</v>
      </c>
      <c r="ET9" s="21">
        <f t="shared" si="15"/>
        <v>0.20516952758506957</v>
      </c>
      <c r="EV9" s="23">
        <f t="shared" si="16"/>
        <v>43508.9</v>
      </c>
      <c r="EW9" s="23">
        <f t="shared" si="17"/>
        <v>6107.7</v>
      </c>
      <c r="EX9" s="23">
        <f t="shared" si="17"/>
        <v>12165.9</v>
      </c>
      <c r="EY9" s="23">
        <f t="shared" si="17"/>
        <v>20418.400000000001</v>
      </c>
      <c r="EZ9" s="23">
        <f t="shared" si="18"/>
        <v>4361.8999999999996</v>
      </c>
      <c r="FA9" s="23">
        <f t="shared" si="19"/>
        <v>3272</v>
      </c>
      <c r="FB9" s="23">
        <f t="shared" si="20"/>
        <v>10846.7</v>
      </c>
      <c r="FC9" s="23">
        <f t="shared" si="21"/>
        <v>2705.8</v>
      </c>
      <c r="FD9" s="23">
        <f t="shared" si="21"/>
        <v>8188</v>
      </c>
      <c r="FE9" s="23">
        <f t="shared" si="21"/>
        <v>-196.29999999999995</v>
      </c>
      <c r="FF9" s="23">
        <f t="shared" si="22"/>
        <v>3320.2</v>
      </c>
      <c r="FG9" s="21">
        <f t="shared" si="23"/>
        <v>8.334630001176313</v>
      </c>
      <c r="FH9" s="21">
        <f t="shared" si="24"/>
        <v>13.120370563418437</v>
      </c>
      <c r="FI9" s="21">
        <f t="shared" si="25"/>
        <v>24.940293918787624</v>
      </c>
      <c r="FJ9" s="21">
        <f t="shared" si="26"/>
        <v>9.8791316909464744</v>
      </c>
      <c r="FK9" s="21">
        <f t="shared" si="27"/>
        <v>3.7688205964387267</v>
      </c>
      <c r="FL9" s="21">
        <f t="shared" si="28"/>
        <v>3.0423414041684582</v>
      </c>
      <c r="FM9" s="21">
        <f t="shared" si="29"/>
        <v>3.0843146783670727</v>
      </c>
      <c r="FN9" s="21">
        <f t="shared" si="30"/>
        <v>22.437421673916447</v>
      </c>
      <c r="FO9" s="21">
        <f t="shared" si="31"/>
        <v>5.9087826776960561</v>
      </c>
      <c r="FP9" s="21">
        <f t="shared" si="32"/>
        <v>-0.6387845362001543</v>
      </c>
      <c r="FQ9" s="21">
        <f t="shared" si="33"/>
        <v>2.3534888724097369</v>
      </c>
      <c r="FS9" s="21">
        <f t="shared" si="103"/>
        <v>5.2503153228092403</v>
      </c>
      <c r="FT9" s="21">
        <f t="shared" si="103"/>
        <v>-9.31705111049801</v>
      </c>
      <c r="FU9" s="21">
        <f t="shared" si="103"/>
        <v>19.031511241091568</v>
      </c>
      <c r="FV9" s="21">
        <f t="shared" si="103"/>
        <v>10.517916227146628</v>
      </c>
      <c r="FW9" s="21">
        <f t="shared" si="103"/>
        <v>1.4153317240289898</v>
      </c>
      <c r="FY9" s="23">
        <f t="shared" si="34"/>
        <v>27117.9</v>
      </c>
      <c r="FZ9" s="23">
        <f t="shared" si="35"/>
        <v>3962.7</v>
      </c>
      <c r="GA9" s="23">
        <f t="shared" si="35"/>
        <v>9328.9</v>
      </c>
      <c r="GB9" s="23">
        <f t="shared" si="35"/>
        <v>12634.4</v>
      </c>
      <c r="GC9" s="23">
        <f t="shared" si="36"/>
        <v>3655.9</v>
      </c>
      <c r="GD9" s="23">
        <f t="shared" si="37"/>
        <v>353</v>
      </c>
      <c r="GE9" s="23">
        <f t="shared" si="38"/>
        <v>9662.7000000000007</v>
      </c>
      <c r="GF9" s="23">
        <f t="shared" si="39"/>
        <v>2705.8</v>
      </c>
      <c r="GG9" s="23">
        <f t="shared" si="39"/>
        <v>8188</v>
      </c>
      <c r="GH9" s="23">
        <f t="shared" si="39"/>
        <v>-644.29999999999995</v>
      </c>
      <c r="GI9" s="23">
        <f t="shared" si="40"/>
        <v>2584.1999999999998</v>
      </c>
      <c r="GJ9" s="21">
        <f t="shared" si="41"/>
        <v>5.1042984687359905</v>
      </c>
      <c r="GK9" s="21">
        <f t="shared" si="42"/>
        <v>8.4282312077372801</v>
      </c>
      <c r="GL9" s="21">
        <f t="shared" si="43"/>
        <v>19.068411188134537</v>
      </c>
      <c r="GM9" s="21">
        <f t="shared" si="44"/>
        <v>6.0214351386457032</v>
      </c>
      <c r="GN9" s="21">
        <f t="shared" si="45"/>
        <v>3.1199547059840294</v>
      </c>
      <c r="GO9" s="21">
        <f t="shared" si="46"/>
        <v>0.1140388723204433</v>
      </c>
      <c r="GP9" s="21">
        <f t="shared" si="47"/>
        <v>2.7214309882678256</v>
      </c>
      <c r="GQ9" s="21">
        <f t="shared" si="48"/>
        <v>22.437421673916447</v>
      </c>
      <c r="GR9" s="21">
        <f t="shared" si="49"/>
        <v>5.9087826776960561</v>
      </c>
      <c r="GS9" s="21">
        <f t="shared" si="50"/>
        <v>-1.5487025162736701</v>
      </c>
      <c r="GT9" s="21">
        <f t="shared" si="51"/>
        <v>1.7785623078722779</v>
      </c>
      <c r="GV9" s="21">
        <f t="shared" si="104"/>
        <v>2.3828674804681649</v>
      </c>
      <c r="GW9" s="21">
        <f t="shared" si="104"/>
        <v>-14.009190466179167</v>
      </c>
      <c r="GX9" s="21">
        <f t="shared" si="104"/>
        <v>13.15962851043848</v>
      </c>
      <c r="GY9" s="21">
        <f t="shared" si="104"/>
        <v>7.5701376549193728</v>
      </c>
      <c r="GZ9" s="21">
        <f t="shared" si="104"/>
        <v>1.3413923981117515</v>
      </c>
      <c r="HC9" s="44">
        <f t="shared" si="52"/>
        <v>3.426050003823939E-2</v>
      </c>
      <c r="HD9" s="44">
        <f t="shared" si="53"/>
        <v>1.7197711586619705E-2</v>
      </c>
      <c r="HE9" s="8"/>
      <c r="HF9" s="44">
        <f t="shared" si="54"/>
        <v>3.17773843414908</v>
      </c>
      <c r="HG9" s="44">
        <f t="shared" si="55"/>
        <v>1.4755561273188889</v>
      </c>
      <c r="HH9" s="44">
        <f t="shared" si="105"/>
        <v>1.7021823068301911</v>
      </c>
    </row>
    <row r="10" spans="1:216" s="11" customFormat="1" ht="15">
      <c r="A10" s="11">
        <v>2007</v>
      </c>
      <c r="B10" s="59">
        <f>FX_effect!B10</f>
        <v>610492</v>
      </c>
      <c r="C10" s="59">
        <f>FX_effect!C10</f>
        <v>52387</v>
      </c>
      <c r="D10" s="59">
        <f>FX_effect!D10</f>
        <v>58863</v>
      </c>
      <c r="E10" s="59">
        <f>FX_effect!E10</f>
        <v>-8251</v>
      </c>
      <c r="F10" s="59">
        <f>FX_effect!F10</f>
        <v>1776</v>
      </c>
      <c r="G10" s="59">
        <f>FX_effect!G10</f>
        <v>61858</v>
      </c>
      <c r="H10" s="59">
        <f>FX_effect!H10</f>
        <v>8382</v>
      </c>
      <c r="I10" s="59">
        <f>FX_effect!I10</f>
        <v>8661</v>
      </c>
      <c r="J10" s="59">
        <f>FX_effect!J10</f>
        <v>-269</v>
      </c>
      <c r="K10" s="59">
        <f>FX_effect!K10</f>
        <v>-9</v>
      </c>
      <c r="L10" s="59">
        <f>FX_effect!L10</f>
        <v>65376</v>
      </c>
      <c r="M10" s="59">
        <f>FX_effect!M10</f>
        <v>4661</v>
      </c>
      <c r="N10" s="59">
        <f>FX_effect!N10</f>
        <v>2958</v>
      </c>
      <c r="O10" s="59">
        <f>FX_effect!O10</f>
        <v>-780</v>
      </c>
      <c r="P10" s="59">
        <f>FX_effect!P10</f>
        <v>2483</v>
      </c>
      <c r="Q10" s="59">
        <f>FX_effect!Q10</f>
        <v>222311</v>
      </c>
      <c r="R10" s="59">
        <f>FX_effect!R10</f>
        <v>4268</v>
      </c>
      <c r="S10" s="59">
        <f>FX_effect!S10</f>
        <v>9972</v>
      </c>
      <c r="T10" s="59">
        <f>FX_effect!T10</f>
        <v>-1345</v>
      </c>
      <c r="U10" s="59">
        <f>FX_effect!U10</f>
        <v>-4359</v>
      </c>
      <c r="V10" s="59">
        <f>FX_effect!V10</f>
        <v>4442</v>
      </c>
      <c r="W10" s="59">
        <f>FX_effect!W10</f>
        <v>1703</v>
      </c>
      <c r="X10" s="59">
        <f>FX_effect!X10</f>
        <v>3928</v>
      </c>
      <c r="Y10" s="59">
        <f>FX_effect!Y10</f>
        <v>-5</v>
      </c>
      <c r="Z10" s="59">
        <f>FX_effect!Z10</f>
        <v>-2221</v>
      </c>
      <c r="AA10" s="60">
        <f>FX_effect!AA10</f>
        <v>146227</v>
      </c>
      <c r="AB10" s="60">
        <f>FX_effect!AB10</f>
        <v>29529</v>
      </c>
      <c r="AC10" s="60">
        <f>FX_effect!AC10</f>
        <v>29046</v>
      </c>
      <c r="AD10" s="60">
        <f>FX_effect!AD10</f>
        <v>-2286</v>
      </c>
      <c r="AE10" s="60">
        <f>FX_effect!AE10</f>
        <v>2769</v>
      </c>
      <c r="AF10" s="60">
        <f>FX_effect!AF10</f>
        <v>110279</v>
      </c>
      <c r="AG10" s="60">
        <f>FX_effect!AG10</f>
        <v>3844</v>
      </c>
      <c r="AH10" s="60">
        <f>FX_effect!AH10</f>
        <v>4297</v>
      </c>
      <c r="AI10" s="60">
        <f>FX_effect!AI10</f>
        <v>-3566</v>
      </c>
      <c r="AJ10" s="60">
        <f>FX_effect!AJ10</f>
        <v>3112</v>
      </c>
      <c r="AK10" s="60">
        <f>FX_effect!AK10</f>
        <v>360271</v>
      </c>
      <c r="AL10" s="60">
        <f>FX_effect!AL10</f>
        <v>17247</v>
      </c>
      <c r="AM10" s="60">
        <f>FX_effect!AM10</f>
        <v>32414</v>
      </c>
      <c r="AN10" s="60">
        <f>FX_effect!AN10</f>
        <v>-2860</v>
      </c>
      <c r="AO10" s="60">
        <f>FX_effect!AO10</f>
        <v>-12307</v>
      </c>
      <c r="AP10" s="60">
        <f>FX_effect!AP10</f>
        <v>15145</v>
      </c>
      <c r="AQ10" s="60">
        <f>FX_effect!AQ10</f>
        <v>2342</v>
      </c>
      <c r="AR10" s="60">
        <f>FX_effect!AR10</f>
        <v>2655</v>
      </c>
      <c r="AS10" s="60">
        <f>FX_effect!AS10</f>
        <v>0</v>
      </c>
      <c r="AT10" s="60">
        <f>FX_effect!AT10</f>
        <v>-313</v>
      </c>
      <c r="AU10" s="60">
        <f>FX_effect!AU10</f>
        <v>142031</v>
      </c>
      <c r="AV10" s="60">
        <f>FX_effect!AV10</f>
        <v>-7245</v>
      </c>
      <c r="AW10" s="60">
        <f>FX_effect!AW10</f>
        <v>5444</v>
      </c>
      <c r="AX10" s="60">
        <f>FX_effect!AX10</f>
        <v>0</v>
      </c>
      <c r="AY10" s="60">
        <f>FX_effect!AY10</f>
        <v>-12689</v>
      </c>
      <c r="AZ10" s="60">
        <f>FX_effect!AZ10</f>
        <v>79456</v>
      </c>
      <c r="BA10" s="60">
        <f>FX_effect!BA10</f>
        <v>19037</v>
      </c>
      <c r="BB10" s="60">
        <f>FX_effect!BB10</f>
        <v>19478</v>
      </c>
      <c r="BC10" s="60">
        <f>FX_effect!BC10</f>
        <v>-36</v>
      </c>
      <c r="BD10" s="60">
        <f>FX_effect!BD10</f>
        <v>-406</v>
      </c>
      <c r="BE10" s="60">
        <f>FX_effect!BE10</f>
        <v>4964</v>
      </c>
      <c r="BF10" s="60">
        <f>FX_effect!BF10</f>
        <v>1377</v>
      </c>
      <c r="BG10" s="60">
        <f>FX_effect!BG10</f>
        <v>4203</v>
      </c>
      <c r="BH10" s="60">
        <f>FX_effect!BH10</f>
        <v>0</v>
      </c>
      <c r="BI10" s="60">
        <f>FX_effect!BI10</f>
        <v>-2825</v>
      </c>
      <c r="BJ10" s="60">
        <f>FX_effect!BJ10</f>
        <v>118674</v>
      </c>
      <c r="BK10" s="60">
        <f>FX_effect!BK10</f>
        <v>1736</v>
      </c>
      <c r="BL10" s="60">
        <f>FX_effect!BL10</f>
        <v>633</v>
      </c>
      <c r="BM10" s="60">
        <f>FX_effect!BM10</f>
        <v>-2823</v>
      </c>
      <c r="BN10" s="60">
        <f>FX_effect!BN10</f>
        <v>3926</v>
      </c>
      <c r="BP10" s="54">
        <f>yield!M15</f>
        <v>5.7951817204070298E-2</v>
      </c>
      <c r="BQ10" s="9"/>
      <c r="BR10" s="11">
        <f t="shared" si="56"/>
        <v>-6476</v>
      </c>
      <c r="BS10" s="11">
        <f t="shared" si="57"/>
        <v>-279</v>
      </c>
      <c r="BT10" s="11">
        <f t="shared" si="58"/>
        <v>1703</v>
      </c>
      <c r="BU10" s="11">
        <f t="shared" si="59"/>
        <v>-5704</v>
      </c>
      <c r="BV10" s="11">
        <f t="shared" si="60"/>
        <v>-2225</v>
      </c>
      <c r="BW10" s="11">
        <f t="shared" si="61"/>
        <v>483</v>
      </c>
      <c r="BX10" s="11">
        <f t="shared" si="62"/>
        <v>-453</v>
      </c>
      <c r="BY10" s="11">
        <f t="shared" si="63"/>
        <v>-15167</v>
      </c>
      <c r="BZ10" s="11">
        <f t="shared" si="64"/>
        <v>-313</v>
      </c>
      <c r="CA10" s="11">
        <f t="shared" si="65"/>
        <v>-12689</v>
      </c>
      <c r="CB10" s="11">
        <f t="shared" si="66"/>
        <v>-441</v>
      </c>
      <c r="CC10" s="11">
        <f t="shared" si="67"/>
        <v>-2826</v>
      </c>
      <c r="CD10" s="11">
        <f t="shared" si="68"/>
        <v>1103</v>
      </c>
      <c r="CE10" s="21">
        <f t="shared" si="69"/>
        <v>-1.2176013254167173</v>
      </c>
      <c r="CF10" s="21">
        <f t="shared" si="70"/>
        <v>-0.57934544991270487</v>
      </c>
      <c r="CG10" s="21">
        <f t="shared" si="71"/>
        <v>2.7453653712252724</v>
      </c>
      <c r="CH10" s="21">
        <f t="shared" si="72"/>
        <v>-2.6724008742438188</v>
      </c>
      <c r="CI10" s="21">
        <f t="shared" si="73"/>
        <v>-81.244895940780381</v>
      </c>
      <c r="CJ10" s="21">
        <f t="shared" si="74"/>
        <v>0.35573087157412253</v>
      </c>
      <c r="CK10" s="21">
        <f t="shared" si="75"/>
        <v>-0.4832836213559899</v>
      </c>
      <c r="CL10" s="21">
        <f t="shared" si="76"/>
        <v>-4.4769138734252927</v>
      </c>
      <c r="CM10" s="21">
        <f t="shared" si="77"/>
        <v>-2.5012418162952188</v>
      </c>
      <c r="CN10" s="21">
        <f t="shared" si="78"/>
        <v>-8.5533567375701942</v>
      </c>
      <c r="CO10" s="21">
        <f t="shared" si="79"/>
        <v>-0.78739835068272201</v>
      </c>
      <c r="CP10" s="21">
        <f t="shared" si="80"/>
        <v>-78.79678722892973</v>
      </c>
      <c r="CQ10" s="21">
        <f t="shared" si="81"/>
        <v>0.88477031891931457</v>
      </c>
      <c r="CR10" s="21"/>
      <c r="CS10" s="21">
        <f t="shared" si="0"/>
        <v>3.2593125480085754</v>
      </c>
      <c r="CT10" s="21">
        <f t="shared" si="0"/>
        <v>1.9218963663825139</v>
      </c>
      <c r="CU10" s="21">
        <f t="shared" si="0"/>
        <v>11.298722108795467</v>
      </c>
      <c r="CV10" s="21">
        <f t="shared" si="0"/>
        <v>-1.8850025235610968</v>
      </c>
      <c r="CW10" s="21">
        <f t="shared" si="0"/>
        <v>-2.4481087118506508</v>
      </c>
      <c r="CX10" s="21">
        <f t="shared" si="0"/>
        <v>-0.52903944734519204</v>
      </c>
      <c r="CZ10" s="23">
        <f>Balance_on_income!B15</f>
        <v>23612.299999999996</v>
      </c>
      <c r="DA10" s="23">
        <f>Balance_on_income!C15</f>
        <v>5309.2</v>
      </c>
      <c r="DB10" s="23">
        <f>Balance_on_income!D15</f>
        <v>3363.7</v>
      </c>
      <c r="DC10" s="23">
        <f>Balance_on_income!E15</f>
        <v>11997.3</v>
      </c>
      <c r="DD10" s="23">
        <f>Balance_on_income!F15</f>
        <v>2942.1</v>
      </c>
      <c r="DE10" s="23">
        <f>Balance_on_income!G15</f>
        <v>7138.4</v>
      </c>
      <c r="DF10" s="23">
        <f>Balance_on_income!H15</f>
        <v>1743.7</v>
      </c>
      <c r="DG10" s="23">
        <f>Balance_on_income!I15</f>
        <v>2031.7</v>
      </c>
      <c r="DH10" s="23">
        <f>Balance_on_income!J15</f>
        <v>1077.8</v>
      </c>
      <c r="DI10" s="23">
        <f>Balance_on_income!K15</f>
        <v>2285.1999999999998</v>
      </c>
      <c r="DJ10" s="21">
        <f t="shared" si="82"/>
        <v>4.1704302067189669</v>
      </c>
      <c r="DK10" s="21">
        <f t="shared" si="83"/>
        <v>9.8645235982816928</v>
      </c>
      <c r="DL10" s="21">
        <f t="shared" si="84"/>
        <v>5.4790195778963158</v>
      </c>
      <c r="DM10" s="21">
        <f t="shared" si="85"/>
        <v>5.4411582477486009</v>
      </c>
      <c r="DN10" s="21">
        <f t="shared" si="86"/>
        <v>2.4617444555705692</v>
      </c>
      <c r="DO10" s="21">
        <f t="shared" si="87"/>
        <v>2.021897026716224</v>
      </c>
      <c r="DP10" s="21">
        <f t="shared" si="88"/>
        <v>13.553657779895767</v>
      </c>
      <c r="DQ10" s="21">
        <f t="shared" si="89"/>
        <v>1.3023293926856194</v>
      </c>
      <c r="DR10" s="21">
        <f t="shared" si="90"/>
        <v>1.7249244907755479</v>
      </c>
      <c r="DS10" s="21">
        <f t="shared" si="91"/>
        <v>1.8951478612226236</v>
      </c>
      <c r="DU10" s="11">
        <f t="shared" si="92"/>
        <v>1775</v>
      </c>
      <c r="DV10" s="11">
        <f t="shared" si="93"/>
        <v>-10</v>
      </c>
      <c r="DW10" s="11">
        <f t="shared" si="94"/>
        <v>2483</v>
      </c>
      <c r="DX10" s="11">
        <f t="shared" si="95"/>
        <v>-4359</v>
      </c>
      <c r="DY10" s="11">
        <f t="shared" si="96"/>
        <v>-2220</v>
      </c>
      <c r="DZ10" s="11">
        <f t="shared" si="97"/>
        <v>2769</v>
      </c>
      <c r="EA10" s="11">
        <f t="shared" si="98"/>
        <v>3113</v>
      </c>
      <c r="EB10" s="11">
        <f t="shared" si="99"/>
        <v>-12307</v>
      </c>
      <c r="EC10" s="11">
        <f t="shared" si="100"/>
        <v>-313</v>
      </c>
      <c r="ED10" s="11">
        <f t="shared" si="101"/>
        <v>-12689</v>
      </c>
      <c r="EE10" s="11">
        <f t="shared" si="1"/>
        <v>-405</v>
      </c>
      <c r="EF10" s="11">
        <f t="shared" si="2"/>
        <v>-2826</v>
      </c>
      <c r="EG10" s="11">
        <f t="shared" si="3"/>
        <v>3926</v>
      </c>
      <c r="EH10" s="21">
        <f t="shared" si="4"/>
        <v>0.25993805605883935</v>
      </c>
      <c r="EI10" s="21">
        <f t="shared" si="5"/>
        <v>-7.660739938403216E-2</v>
      </c>
      <c r="EJ10" s="21">
        <f t="shared" si="6"/>
        <v>4.0293120691258011</v>
      </c>
      <c r="EK10" s="21">
        <f t="shared" si="7"/>
        <v>-2.0559073387927618</v>
      </c>
      <c r="EL10" s="21">
        <f t="shared" si="8"/>
        <v>-81.062453294289909</v>
      </c>
      <c r="EM10" s="21">
        <f t="shared" si="9"/>
        <v>2.3134987756918468</v>
      </c>
      <c r="EN10" s="21">
        <f t="shared" si="10"/>
        <v>2.865177538145125</v>
      </c>
      <c r="EO10" s="21">
        <f t="shared" si="11"/>
        <v>-3.6436358701433691</v>
      </c>
      <c r="EP10" s="21">
        <f t="shared" si="12"/>
        <v>-2.5012418162952188</v>
      </c>
      <c r="EQ10" s="21">
        <f t="shared" si="13"/>
        <v>-8.5533567375701942</v>
      </c>
      <c r="ER10" s="21">
        <f t="shared" si="14"/>
        <v>-0.72784895491467827</v>
      </c>
      <c r="ES10" s="21">
        <f t="shared" si="102"/>
        <v>-78.79678722892973</v>
      </c>
      <c r="ET10" s="21">
        <f t="shared" si="15"/>
        <v>3.2974718938831638</v>
      </c>
      <c r="EV10" s="23">
        <f t="shared" si="16"/>
        <v>17136.299999999996</v>
      </c>
      <c r="EW10" s="23">
        <f t="shared" si="17"/>
        <v>5030.2</v>
      </c>
      <c r="EX10" s="23">
        <f t="shared" si="17"/>
        <v>5066.7</v>
      </c>
      <c r="EY10" s="23">
        <f t="shared" si="17"/>
        <v>6293.2999999999993</v>
      </c>
      <c r="EZ10" s="23">
        <f t="shared" si="18"/>
        <v>3425.1</v>
      </c>
      <c r="FA10" s="23">
        <f t="shared" si="19"/>
        <v>-453</v>
      </c>
      <c r="FB10" s="23">
        <f t="shared" si="20"/>
        <v>-8028.6</v>
      </c>
      <c r="FC10" s="23">
        <f t="shared" si="21"/>
        <v>1430.7</v>
      </c>
      <c r="FD10" s="23">
        <f t="shared" si="21"/>
        <v>-10657.3</v>
      </c>
      <c r="FE10" s="23">
        <f t="shared" si="21"/>
        <v>636.79999999999995</v>
      </c>
      <c r="FF10" s="23">
        <f t="shared" si="22"/>
        <v>3388.2</v>
      </c>
      <c r="FG10" s="21">
        <f t="shared" si="23"/>
        <v>3.0107471338264746</v>
      </c>
      <c r="FH10" s="21">
        <f t="shared" si="24"/>
        <v>9.343096400893236</v>
      </c>
      <c r="FI10" s="21">
        <f t="shared" si="25"/>
        <v>8.2823032016458242</v>
      </c>
      <c r="FJ10" s="21">
        <f t="shared" si="26"/>
        <v>2.8266756260290071</v>
      </c>
      <c r="FK10" s="21">
        <f t="shared" si="27"/>
        <v>2.8753935796689278</v>
      </c>
      <c r="FL10" s="21">
        <f t="shared" si="28"/>
        <v>-0.4832836213559899</v>
      </c>
      <c r="FM10" s="21">
        <f t="shared" si="29"/>
        <v>-2.3970985941848322</v>
      </c>
      <c r="FN10" s="21">
        <f t="shared" si="30"/>
        <v>11.110334216124773</v>
      </c>
      <c r="FO10" s="21">
        <f t="shared" si="31"/>
        <v>-7.1931090923603396</v>
      </c>
      <c r="FP10" s="21">
        <f t="shared" si="32"/>
        <v>0.99544439261705087</v>
      </c>
      <c r="FQ10" s="21">
        <f t="shared" si="33"/>
        <v>2.8378364326661965</v>
      </c>
      <c r="FS10" s="21">
        <f t="shared" si="103"/>
        <v>5.4078457280113064</v>
      </c>
      <c r="FT10" s="21">
        <f t="shared" si="103"/>
        <v>-1.7672378152315371</v>
      </c>
      <c r="FU10" s="21">
        <f t="shared" si="103"/>
        <v>15.475412294006164</v>
      </c>
      <c r="FV10" s="21">
        <f t="shared" si="103"/>
        <v>1.8312312334119563</v>
      </c>
      <c r="FW10" s="21">
        <f t="shared" si="103"/>
        <v>3.7557147002731384E-2</v>
      </c>
      <c r="FY10" s="23">
        <f t="shared" si="34"/>
        <v>25387.299999999996</v>
      </c>
      <c r="FZ10" s="23">
        <f t="shared" si="35"/>
        <v>5299.2</v>
      </c>
      <c r="GA10" s="23">
        <f t="shared" si="35"/>
        <v>5846.7</v>
      </c>
      <c r="GB10" s="23">
        <f t="shared" si="35"/>
        <v>7638.2999999999993</v>
      </c>
      <c r="GC10" s="23">
        <f t="shared" si="36"/>
        <v>5711.1</v>
      </c>
      <c r="GD10" s="23">
        <f t="shared" si="37"/>
        <v>3113</v>
      </c>
      <c r="GE10" s="23">
        <f t="shared" si="38"/>
        <v>-5168.6000000000004</v>
      </c>
      <c r="GF10" s="23">
        <f t="shared" si="39"/>
        <v>1430.7</v>
      </c>
      <c r="GG10" s="23">
        <f t="shared" si="39"/>
        <v>-10657.3</v>
      </c>
      <c r="GH10" s="23">
        <f t="shared" si="39"/>
        <v>672.8</v>
      </c>
      <c r="GI10" s="23">
        <f t="shared" si="40"/>
        <v>6211.2</v>
      </c>
      <c r="GJ10" s="21">
        <f t="shared" si="41"/>
        <v>4.4882865153020424</v>
      </c>
      <c r="GK10" s="21">
        <f t="shared" si="42"/>
        <v>9.8458344514219078</v>
      </c>
      <c r="GL10" s="21">
        <f t="shared" si="43"/>
        <v>9.566249899546353</v>
      </c>
      <c r="GM10" s="21">
        <f t="shared" si="44"/>
        <v>3.4431691614800863</v>
      </c>
      <c r="GN10" s="21">
        <f t="shared" si="45"/>
        <v>4.8331614837866743</v>
      </c>
      <c r="GO10" s="21">
        <f t="shared" si="46"/>
        <v>2.865177538145125</v>
      </c>
      <c r="GP10" s="21">
        <f t="shared" si="47"/>
        <v>-1.563820590902909</v>
      </c>
      <c r="GQ10" s="21">
        <f t="shared" si="48"/>
        <v>11.110334216124773</v>
      </c>
      <c r="GR10" s="21">
        <f t="shared" si="49"/>
        <v>-7.1931090923603396</v>
      </c>
      <c r="GS10" s="21">
        <f t="shared" si="50"/>
        <v>1.0549937883850946</v>
      </c>
      <c r="GT10" s="21">
        <f t="shared" si="51"/>
        <v>5.2505380076300456</v>
      </c>
      <c r="GV10" s="21">
        <f t="shared" si="104"/>
        <v>6.0521071062049518</v>
      </c>
      <c r="GW10" s="21">
        <f t="shared" si="104"/>
        <v>-1.2644997647028653</v>
      </c>
      <c r="GX10" s="21">
        <f t="shared" si="104"/>
        <v>16.759358991906694</v>
      </c>
      <c r="GY10" s="21">
        <f t="shared" si="104"/>
        <v>2.3881753730949917</v>
      </c>
      <c r="GZ10" s="21">
        <f t="shared" si="104"/>
        <v>-0.41737652384337132</v>
      </c>
      <c r="HC10" s="44">
        <f t="shared" si="52"/>
        <v>3.6974155412693617E-2</v>
      </c>
      <c r="HD10" s="44">
        <f t="shared" si="53"/>
        <v>1.7838759330674126E-2</v>
      </c>
      <c r="HE10" s="8"/>
      <c r="HF10" s="44">
        <f t="shared" si="54"/>
        <v>3.6373558102750669</v>
      </c>
      <c r="HG10" s="44">
        <f t="shared" si="55"/>
        <v>1.7249244907755479</v>
      </c>
      <c r="HH10" s="44">
        <f t="shared" si="105"/>
        <v>1.9124313194995191</v>
      </c>
    </row>
    <row r="11" spans="1:216" s="11" customFormat="1" ht="15">
      <c r="A11" s="11">
        <v>2008</v>
      </c>
      <c r="B11" s="59">
        <f>FX_effect!B11</f>
        <v>519179</v>
      </c>
      <c r="C11" s="59">
        <f>FX_effect!C11</f>
        <v>-91313</v>
      </c>
      <c r="D11" s="59">
        <f>FX_effect!D11</f>
        <v>33476</v>
      </c>
      <c r="E11" s="59">
        <f>FX_effect!E11</f>
        <v>-103006</v>
      </c>
      <c r="F11" s="59">
        <f>FX_effect!F11</f>
        <v>-21783</v>
      </c>
      <c r="G11" s="59">
        <f>FX_effect!G11</f>
        <v>61740</v>
      </c>
      <c r="H11" s="59">
        <f>FX_effect!H11</f>
        <v>-118</v>
      </c>
      <c r="I11" s="59">
        <f>FX_effect!I11</f>
        <v>13232</v>
      </c>
      <c r="J11" s="59">
        <f>FX_effect!J11</f>
        <v>-12943</v>
      </c>
      <c r="K11" s="59">
        <f>FX_effect!K11</f>
        <v>-407</v>
      </c>
      <c r="L11" s="59">
        <f>FX_effect!L11</f>
        <v>35817</v>
      </c>
      <c r="M11" s="59">
        <f>FX_effect!M11</f>
        <v>-29559</v>
      </c>
      <c r="N11" s="59">
        <f>FX_effect!N11</f>
        <v>6415</v>
      </c>
      <c r="O11" s="59">
        <f>FX_effect!O11</f>
        <v>-10697</v>
      </c>
      <c r="P11" s="59">
        <f>FX_effect!P11</f>
        <v>-25277</v>
      </c>
      <c r="Q11" s="59">
        <f>FX_effect!Q11</f>
        <v>179865</v>
      </c>
      <c r="R11" s="59">
        <f>FX_effect!R11</f>
        <v>-42446</v>
      </c>
      <c r="S11" s="59">
        <f>FX_effect!S11</f>
        <v>7563</v>
      </c>
      <c r="T11" s="59">
        <f>FX_effect!T11</f>
        <v>-39809</v>
      </c>
      <c r="U11" s="59">
        <f>FX_effect!U11</f>
        <v>-10201</v>
      </c>
      <c r="V11" s="59">
        <f>FX_effect!V11</f>
        <v>7022</v>
      </c>
      <c r="W11" s="59">
        <f>FX_effect!W11</f>
        <v>2580</v>
      </c>
      <c r="X11" s="59">
        <f>FX_effect!X11</f>
        <v>4722</v>
      </c>
      <c r="Y11" s="59">
        <f>FX_effect!Y11</f>
        <v>-5</v>
      </c>
      <c r="Z11" s="59">
        <f>FX_effect!Z11</f>
        <v>-2137</v>
      </c>
      <c r="AA11" s="60">
        <f>FX_effect!AA11</f>
        <v>141752</v>
      </c>
      <c r="AB11" s="60">
        <f>FX_effect!AB11</f>
        <v>-4475</v>
      </c>
      <c r="AC11" s="60">
        <f>FX_effect!AC11</f>
        <v>-1657</v>
      </c>
      <c r="AD11" s="60">
        <f>FX_effect!AD11</f>
        <v>-14787</v>
      </c>
      <c r="AE11" s="60">
        <f>FX_effect!AE11</f>
        <v>11969</v>
      </c>
      <c r="AF11" s="60">
        <f>FX_effect!AF11</f>
        <v>92983</v>
      </c>
      <c r="AG11" s="60">
        <f>FX_effect!AG11</f>
        <v>-17295</v>
      </c>
      <c r="AH11" s="60">
        <f>FX_effect!AH11</f>
        <v>3200</v>
      </c>
      <c r="AI11" s="60">
        <f>FX_effect!AI11</f>
        <v>-24765</v>
      </c>
      <c r="AJ11" s="60">
        <f>FX_effect!AJ11</f>
        <v>4270</v>
      </c>
      <c r="AK11" s="60">
        <f>FX_effect!AK11</f>
        <v>293671</v>
      </c>
      <c r="AL11" s="60">
        <f>FX_effect!AL11</f>
        <v>-66600</v>
      </c>
      <c r="AM11" s="60">
        <f>FX_effect!AM11</f>
        <v>9943</v>
      </c>
      <c r="AN11" s="60">
        <f>FX_effect!AN11</f>
        <v>-15030</v>
      </c>
      <c r="AO11" s="60">
        <f>FX_effect!AO11</f>
        <v>-61512</v>
      </c>
      <c r="AP11" s="60">
        <f>FX_effect!AP11</f>
        <v>18456</v>
      </c>
      <c r="AQ11" s="60">
        <f>FX_effect!AQ11</f>
        <v>3311</v>
      </c>
      <c r="AR11" s="60">
        <f>FX_effect!AR11</f>
        <v>2525</v>
      </c>
      <c r="AS11" s="60">
        <f>FX_effect!AS11</f>
        <v>0</v>
      </c>
      <c r="AT11" s="60">
        <f>FX_effect!AT11</f>
        <v>786</v>
      </c>
      <c r="AU11" s="60">
        <f>FX_effect!AU11</f>
        <v>68625</v>
      </c>
      <c r="AV11" s="60">
        <f>FX_effect!AV11</f>
        <v>-73406</v>
      </c>
      <c r="AW11" s="60">
        <f>FX_effect!AW11</f>
        <v>-7464</v>
      </c>
      <c r="AX11" s="60">
        <f>FX_effect!AX11</f>
        <v>0</v>
      </c>
      <c r="AY11" s="60">
        <f>FX_effect!AY11</f>
        <v>-65942</v>
      </c>
      <c r="AZ11" s="60">
        <f>FX_effect!AZ11</f>
        <v>71682</v>
      </c>
      <c r="BA11" s="60">
        <f>FX_effect!BA11</f>
        <v>-7774</v>
      </c>
      <c r="BB11" s="60">
        <f>FX_effect!BB11</f>
        <v>-2879</v>
      </c>
      <c r="BC11" s="60">
        <f>FX_effect!BC11</f>
        <v>-1600</v>
      </c>
      <c r="BD11" s="60">
        <f>FX_effect!BD11</f>
        <v>-3294</v>
      </c>
      <c r="BE11" s="60">
        <f>FX_effect!BE11</f>
        <v>7761</v>
      </c>
      <c r="BF11" s="60">
        <f>FX_effect!BF11</f>
        <v>2797</v>
      </c>
      <c r="BG11" s="60">
        <f>FX_effect!BG11</f>
        <v>4909</v>
      </c>
      <c r="BH11" s="60">
        <f>FX_effect!BH11</f>
        <v>0</v>
      </c>
      <c r="BI11" s="60">
        <f>FX_effect!BI11</f>
        <v>-2112</v>
      </c>
      <c r="BJ11" s="60">
        <f>FX_effect!BJ11</f>
        <v>127146</v>
      </c>
      <c r="BK11" s="60">
        <f>FX_effect!BK11</f>
        <v>8472</v>
      </c>
      <c r="BL11" s="60">
        <f>FX_effect!BL11</f>
        <v>12853</v>
      </c>
      <c r="BM11" s="60">
        <f>FX_effect!BM11</f>
        <v>-13431</v>
      </c>
      <c r="BN11" s="60">
        <f>FX_effect!BN11</f>
        <v>9050</v>
      </c>
      <c r="BP11" s="54">
        <f>yield!M16</f>
        <v>1.3734899884159999</v>
      </c>
      <c r="BQ11" s="9"/>
      <c r="BR11" s="11">
        <f t="shared" si="56"/>
        <v>-124789</v>
      </c>
      <c r="BS11" s="11">
        <f t="shared" si="57"/>
        <v>-13350</v>
      </c>
      <c r="BT11" s="11">
        <f t="shared" si="58"/>
        <v>-35974</v>
      </c>
      <c r="BU11" s="11">
        <f t="shared" si="59"/>
        <v>-50009</v>
      </c>
      <c r="BV11" s="11">
        <f t="shared" si="60"/>
        <v>-2142</v>
      </c>
      <c r="BW11" s="11">
        <f t="shared" si="61"/>
        <v>-2818</v>
      </c>
      <c r="BX11" s="11">
        <f t="shared" si="62"/>
        <v>-20495</v>
      </c>
      <c r="BY11" s="11">
        <f t="shared" si="63"/>
        <v>-76543</v>
      </c>
      <c r="BZ11" s="11">
        <f t="shared" si="64"/>
        <v>786</v>
      </c>
      <c r="CA11" s="11">
        <f t="shared" si="65"/>
        <v>-65942</v>
      </c>
      <c r="CB11" s="11">
        <f t="shared" si="66"/>
        <v>-4895</v>
      </c>
      <c r="CC11" s="11">
        <f t="shared" si="67"/>
        <v>-2112</v>
      </c>
      <c r="CD11" s="11">
        <f t="shared" si="68"/>
        <v>-4381</v>
      </c>
      <c r="CE11" s="21">
        <f t="shared" si="69"/>
        <v>-21.51865984579916</v>
      </c>
      <c r="CF11" s="21">
        <f t="shared" si="70"/>
        <v>-22.644161783149997</v>
      </c>
      <c r="CG11" s="21">
        <f t="shared" si="71"/>
        <v>-55.635649264770706</v>
      </c>
      <c r="CH11" s="21">
        <f t="shared" si="72"/>
        <v>-23.545162757429171</v>
      </c>
      <c r="CI11" s="21">
        <f t="shared" si="73"/>
        <v>-48.92305851470006</v>
      </c>
      <c r="CJ11" s="21">
        <f t="shared" si="74"/>
        <v>-3.2559110545836156</v>
      </c>
      <c r="CK11" s="21">
        <f t="shared" si="75"/>
        <v>-19.687927474917732</v>
      </c>
      <c r="CL11" s="21">
        <f t="shared" si="76"/>
        <v>-22.312974482471894</v>
      </c>
      <c r="CM11" s="21">
        <f t="shared" si="77"/>
        <v>3.7646347576866246</v>
      </c>
      <c r="CN11" s="21">
        <f t="shared" si="78"/>
        <v>-47.153730720151124</v>
      </c>
      <c r="CO11" s="21">
        <f t="shared" si="79"/>
        <v>-7.4320538410782007</v>
      </c>
      <c r="CP11" s="21">
        <f t="shared" si="80"/>
        <v>-43.324762317415185</v>
      </c>
      <c r="CQ11" s="21">
        <f t="shared" si="81"/>
        <v>-4.9964895037159174</v>
      </c>
      <c r="CR11" s="21"/>
      <c r="CS11" s="21">
        <f t="shared" si="0"/>
        <v>0.79431463667273405</v>
      </c>
      <c r="CT11" s="21">
        <f t="shared" si="0"/>
        <v>-26.408796540836622</v>
      </c>
      <c r="CU11" s="21">
        <f t="shared" si="0"/>
        <v>-8.4819185446195817</v>
      </c>
      <c r="CV11" s="21">
        <f t="shared" si="0"/>
        <v>-16.113108916350971</v>
      </c>
      <c r="CW11" s="21">
        <f t="shared" si="0"/>
        <v>-5.5982961972848742</v>
      </c>
      <c r="CX11" s="21">
        <f t="shared" si="0"/>
        <v>1.7405784491323018</v>
      </c>
      <c r="CZ11" s="23">
        <f>Balance_on_income!B16</f>
        <v>22250.5</v>
      </c>
      <c r="DA11" s="23">
        <f>Balance_on_income!C16</f>
        <v>5033.8999999999996</v>
      </c>
      <c r="DB11" s="23">
        <f>Balance_on_income!D16</f>
        <v>3298.3</v>
      </c>
      <c r="DC11" s="23">
        <f>Balance_on_income!E16</f>
        <v>11233.3</v>
      </c>
      <c r="DD11" s="23">
        <f>Balance_on_income!F16</f>
        <v>2685</v>
      </c>
      <c r="DE11" s="23">
        <f>Balance_on_income!G16</f>
        <v>6124.7000000000007</v>
      </c>
      <c r="DF11" s="23">
        <f>Balance_on_income!H16</f>
        <v>1222.4000000000001</v>
      </c>
      <c r="DG11" s="23">
        <f>Balance_on_income!I16</f>
        <v>2128.4</v>
      </c>
      <c r="DH11" s="23">
        <f>Balance_on_income!J16</f>
        <v>1075.4000000000001</v>
      </c>
      <c r="DI11" s="23">
        <f>Balance_on_income!K16</f>
        <v>1698.5</v>
      </c>
      <c r="DJ11" s="21">
        <f t="shared" si="82"/>
        <v>2.2404213532126294</v>
      </c>
      <c r="DK11" s="21">
        <f t="shared" si="83"/>
        <v>6.6726930489343861</v>
      </c>
      <c r="DL11" s="21">
        <f t="shared" si="84"/>
        <v>3.6218873442744437</v>
      </c>
      <c r="DM11" s="21">
        <f t="shared" si="85"/>
        <v>3.6296238315871809</v>
      </c>
      <c r="DN11" s="21">
        <f t="shared" si="86"/>
        <v>0.45642723287828701</v>
      </c>
      <c r="DO11" s="21">
        <f t="shared" si="87"/>
        <v>0.32211165416373699</v>
      </c>
      <c r="DP11" s="21">
        <f t="shared" si="88"/>
        <v>6.6070731864264598</v>
      </c>
      <c r="DQ11" s="21">
        <f t="shared" si="89"/>
        <v>0.12336174245222153</v>
      </c>
      <c r="DR11" s="21">
        <f t="shared" si="90"/>
        <v>-1.9765033964203038E-2</v>
      </c>
      <c r="DS11" s="21">
        <f t="shared" si="91"/>
        <v>5.695945695671778E-2</v>
      </c>
      <c r="DU11" s="11">
        <f t="shared" si="92"/>
        <v>-21783</v>
      </c>
      <c r="DV11" s="11">
        <f t="shared" si="93"/>
        <v>-407</v>
      </c>
      <c r="DW11" s="11">
        <f t="shared" si="94"/>
        <v>-25277</v>
      </c>
      <c r="DX11" s="11">
        <f t="shared" si="95"/>
        <v>-10200</v>
      </c>
      <c r="DY11" s="11">
        <f t="shared" si="96"/>
        <v>-2137</v>
      </c>
      <c r="DZ11" s="11">
        <f t="shared" si="97"/>
        <v>11969</v>
      </c>
      <c r="EA11" s="11">
        <f t="shared" si="98"/>
        <v>4270</v>
      </c>
      <c r="EB11" s="11">
        <f t="shared" si="99"/>
        <v>-61513</v>
      </c>
      <c r="EC11" s="11">
        <f t="shared" si="100"/>
        <v>786</v>
      </c>
      <c r="ED11" s="11">
        <f t="shared" si="101"/>
        <v>-65942</v>
      </c>
      <c r="EE11" s="11">
        <f t="shared" si="1"/>
        <v>-3295</v>
      </c>
      <c r="EF11" s="11">
        <f t="shared" si="2"/>
        <v>-2112</v>
      </c>
      <c r="EG11" s="11">
        <f t="shared" si="3"/>
        <v>9050</v>
      </c>
      <c r="EH11" s="21">
        <f t="shared" si="4"/>
        <v>-4.8746429796821866</v>
      </c>
      <c r="EI11" s="21">
        <f t="shared" si="5"/>
        <v>-2.0039248317050951</v>
      </c>
      <c r="EJ11" s="21">
        <f t="shared" si="6"/>
        <v>-39.49506495707913</v>
      </c>
      <c r="EK11" s="21">
        <f t="shared" si="7"/>
        <v>-5.880883667288006</v>
      </c>
      <c r="EL11" s="21">
        <f t="shared" si="8"/>
        <v>-48.812021685384188</v>
      </c>
      <c r="EM11" s="21">
        <f t="shared" si="9"/>
        <v>6.719438074382289</v>
      </c>
      <c r="EN11" s="21">
        <f t="shared" si="10"/>
        <v>2.4646902376076252</v>
      </c>
      <c r="EO11" s="21">
        <f t="shared" si="11"/>
        <v>-18.197638690697925</v>
      </c>
      <c r="EP11" s="21">
        <f t="shared" si="12"/>
        <v>3.7646347576866246</v>
      </c>
      <c r="EQ11" s="21">
        <f t="shared" si="13"/>
        <v>-47.153730720151124</v>
      </c>
      <c r="ER11" s="21">
        <f t="shared" si="14"/>
        <v>-5.4456438699904464</v>
      </c>
      <c r="ES11" s="21">
        <f t="shared" si="102"/>
        <v>-43.324762317415185</v>
      </c>
      <c r="ET11" s="21">
        <f t="shared" si="15"/>
        <v>6.1677300851967098</v>
      </c>
      <c r="EV11" s="23">
        <f t="shared" si="16"/>
        <v>-102538.5</v>
      </c>
      <c r="EW11" s="23">
        <f t="shared" si="17"/>
        <v>-8316.1</v>
      </c>
      <c r="EX11" s="23">
        <f t="shared" si="17"/>
        <v>-32675.7</v>
      </c>
      <c r="EY11" s="23">
        <f t="shared" si="17"/>
        <v>-38775.699999999997</v>
      </c>
      <c r="EZ11" s="23">
        <f t="shared" si="18"/>
        <v>-133</v>
      </c>
      <c r="FA11" s="23">
        <f t="shared" si="19"/>
        <v>-20495</v>
      </c>
      <c r="FB11" s="23">
        <f t="shared" si="20"/>
        <v>-70418.3</v>
      </c>
      <c r="FC11" s="23">
        <f t="shared" si="21"/>
        <v>2008.4</v>
      </c>
      <c r="FD11" s="23">
        <f t="shared" si="21"/>
        <v>-63813.599999999999</v>
      </c>
      <c r="FE11" s="23">
        <f t="shared" si="21"/>
        <v>-3819.6</v>
      </c>
      <c r="FF11" s="23">
        <f t="shared" si="22"/>
        <v>-2682.5</v>
      </c>
      <c r="FG11" s="21">
        <f t="shared" si="23"/>
        <v>-17.92335765680496</v>
      </c>
      <c r="FH11" s="21">
        <f t="shared" si="24"/>
        <v>-14.616587898434052</v>
      </c>
      <c r="FI11" s="21">
        <f t="shared" si="25"/>
        <v>-50.6588810847147</v>
      </c>
      <c r="FJ11" s="21">
        <f t="shared" si="26"/>
        <v>-18.560658090060411</v>
      </c>
      <c r="FK11" s="21">
        <f t="shared" si="27"/>
        <v>-1.4446029859237597</v>
      </c>
      <c r="FL11" s="21">
        <f t="shared" si="28"/>
        <v>-19.687927474917732</v>
      </c>
      <c r="FM11" s="21">
        <f t="shared" si="29"/>
        <v>-20.635981992526588</v>
      </c>
      <c r="FN11" s="21">
        <f t="shared" si="30"/>
        <v>11.72658877989463</v>
      </c>
      <c r="FO11" s="21">
        <f t="shared" si="31"/>
        <v>-45.675488141917342</v>
      </c>
      <c r="FP11" s="21">
        <f t="shared" si="32"/>
        <v>-6.0969380392608352</v>
      </c>
      <c r="FQ11" s="21">
        <f t="shared" si="33"/>
        <v>-3.5846492109776196</v>
      </c>
      <c r="FS11" s="21">
        <f t="shared" si="103"/>
        <v>2.7126243357216282</v>
      </c>
      <c r="FT11" s="21">
        <f t="shared" si="103"/>
        <v>-26.343176678328682</v>
      </c>
      <c r="FU11" s="21">
        <f t="shared" si="103"/>
        <v>-4.9833929427973587</v>
      </c>
      <c r="FV11" s="21">
        <f t="shared" si="103"/>
        <v>-12.463720050799576</v>
      </c>
      <c r="FW11" s="21">
        <f t="shared" si="103"/>
        <v>2.1400462250538599</v>
      </c>
      <c r="FY11" s="23">
        <f t="shared" si="34"/>
        <v>467.5</v>
      </c>
      <c r="FZ11" s="23">
        <f t="shared" si="35"/>
        <v>4626.8999999999996</v>
      </c>
      <c r="GA11" s="23">
        <f t="shared" si="35"/>
        <v>-21978.7</v>
      </c>
      <c r="GB11" s="23">
        <f t="shared" si="35"/>
        <v>1033.2999999999993</v>
      </c>
      <c r="GC11" s="23">
        <f t="shared" si="36"/>
        <v>14654</v>
      </c>
      <c r="GD11" s="23">
        <f t="shared" si="37"/>
        <v>4270</v>
      </c>
      <c r="GE11" s="23">
        <f t="shared" si="38"/>
        <v>-55388.3</v>
      </c>
      <c r="GF11" s="23">
        <f t="shared" si="39"/>
        <v>2008.4</v>
      </c>
      <c r="GG11" s="23">
        <f t="shared" si="39"/>
        <v>-63813.599999999999</v>
      </c>
      <c r="GH11" s="23">
        <f t="shared" si="39"/>
        <v>-2219.6</v>
      </c>
      <c r="GI11" s="23">
        <f t="shared" si="40"/>
        <v>10748.5</v>
      </c>
      <c r="GJ11" s="21">
        <f t="shared" si="41"/>
        <v>-1.2793407906879772</v>
      </c>
      <c r="GK11" s="21">
        <f t="shared" si="42"/>
        <v>6.0236490530108711</v>
      </c>
      <c r="GL11" s="21">
        <f t="shared" si="43"/>
        <v>-34.518296777023124</v>
      </c>
      <c r="GM11" s="21">
        <f t="shared" si="44"/>
        <v>-0.89637899991926728</v>
      </c>
      <c r="GN11" s="21">
        <f t="shared" si="45"/>
        <v>8.5307461430421441</v>
      </c>
      <c r="GO11" s="21">
        <f t="shared" si="46"/>
        <v>2.4646902376076252</v>
      </c>
      <c r="GP11" s="21">
        <f t="shared" si="47"/>
        <v>-16.520646200752608</v>
      </c>
      <c r="GQ11" s="21">
        <f t="shared" si="48"/>
        <v>11.72658877989463</v>
      </c>
      <c r="GR11" s="21">
        <f t="shared" si="49"/>
        <v>-45.675488141917342</v>
      </c>
      <c r="GS11" s="21">
        <f t="shared" si="50"/>
        <v>-4.1105280681730694</v>
      </c>
      <c r="GT11" s="21">
        <f t="shared" si="51"/>
        <v>7.5795703779350188</v>
      </c>
      <c r="GV11" s="21">
        <f t="shared" si="104"/>
        <v>15.241305410064632</v>
      </c>
      <c r="GW11" s="21">
        <f t="shared" si="104"/>
        <v>-5.7029397268837592</v>
      </c>
      <c r="GX11" s="21">
        <f t="shared" si="104"/>
        <v>11.157191364894217</v>
      </c>
      <c r="GY11" s="21">
        <f t="shared" si="104"/>
        <v>3.2141490682538021</v>
      </c>
      <c r="GZ11" s="21">
        <f t="shared" si="104"/>
        <v>0.95117576510712532</v>
      </c>
      <c r="HC11" s="44">
        <f t="shared" si="52"/>
        <v>3.3775320290208036E-2</v>
      </c>
      <c r="HD11" s="44">
        <f t="shared" si="53"/>
        <v>1.353453483689086E-2</v>
      </c>
      <c r="HE11" s="8"/>
      <c r="HF11" s="44">
        <f t="shared" si="54"/>
        <v>1.9768896590556473</v>
      </c>
      <c r="HG11" s="44">
        <f t="shared" si="55"/>
        <v>-1.9765033964203038E-2</v>
      </c>
      <c r="HH11" s="44">
        <f t="shared" si="105"/>
        <v>1.9966546930198503</v>
      </c>
    </row>
    <row r="12" spans="1:216" s="11" customFormat="1" ht="15">
      <c r="A12" s="11">
        <v>2009</v>
      </c>
      <c r="B12" s="59">
        <f>FX_effect!B12</f>
        <v>554826</v>
      </c>
      <c r="C12" s="59">
        <f>FX_effect!C12</f>
        <v>35646</v>
      </c>
      <c r="D12" s="59">
        <f>FX_effect!D12</f>
        <v>12765</v>
      </c>
      <c r="E12" s="59">
        <f>FX_effect!E12</f>
        <v>17330</v>
      </c>
      <c r="F12" s="59">
        <f>FX_effect!F12</f>
        <v>5551</v>
      </c>
      <c r="G12" s="59">
        <f>FX_effect!G12</f>
        <v>68210</v>
      </c>
      <c r="H12" s="59">
        <f>FX_effect!H12</f>
        <v>6470</v>
      </c>
      <c r="I12" s="59">
        <f>FX_effect!I12</f>
        <v>6990</v>
      </c>
      <c r="J12" s="59">
        <f>FX_effect!J12</f>
        <v>2531</v>
      </c>
      <c r="K12" s="59">
        <f>FX_effect!K12</f>
        <v>-3051</v>
      </c>
      <c r="L12" s="59">
        <f>FX_effect!L12</f>
        <v>54687</v>
      </c>
      <c r="M12" s="59">
        <f>FX_effect!M12</f>
        <v>18870</v>
      </c>
      <c r="N12" s="59">
        <f>FX_effect!N12</f>
        <v>3030</v>
      </c>
      <c r="O12" s="59">
        <f>FX_effect!O12</f>
        <v>2749</v>
      </c>
      <c r="P12" s="59">
        <f>FX_effect!P12</f>
        <v>13091</v>
      </c>
      <c r="Q12" s="59">
        <f>FX_effect!Q12</f>
        <v>207302</v>
      </c>
      <c r="R12" s="59">
        <f>FX_effect!R12</f>
        <v>27437</v>
      </c>
      <c r="S12" s="59">
        <f>FX_effect!S12</f>
        <v>13273</v>
      </c>
      <c r="T12" s="59">
        <f>FX_effect!T12</f>
        <v>8391</v>
      </c>
      <c r="U12" s="59">
        <f>FX_effect!U12</f>
        <v>5772</v>
      </c>
      <c r="V12" s="59">
        <f>FX_effect!V12</f>
        <v>4251</v>
      </c>
      <c r="W12" s="59">
        <f>FX_effect!W12</f>
        <v>-2771</v>
      </c>
      <c r="X12" s="59">
        <f>FX_effect!X12</f>
        <v>5189</v>
      </c>
      <c r="Y12" s="59">
        <f>FX_effect!Y12</f>
        <v>0</v>
      </c>
      <c r="Z12" s="59">
        <f>FX_effect!Z12</f>
        <v>-7960</v>
      </c>
      <c r="AA12" s="60">
        <f>FX_effect!AA12</f>
        <v>123599</v>
      </c>
      <c r="AB12" s="60">
        <f>FX_effect!AB12</f>
        <v>-18153</v>
      </c>
      <c r="AC12" s="60">
        <f>FX_effect!AC12</f>
        <v>-18244</v>
      </c>
      <c r="AD12" s="60">
        <f>FX_effect!AD12</f>
        <v>1099</v>
      </c>
      <c r="AE12" s="60">
        <f>FX_effect!AE12</f>
        <v>-1007</v>
      </c>
      <c r="AF12" s="60">
        <f>FX_effect!AF12</f>
        <v>96777</v>
      </c>
      <c r="AG12" s="60">
        <f>FX_effect!AG12</f>
        <v>3793</v>
      </c>
      <c r="AH12" s="60">
        <f>FX_effect!AH12</f>
        <v>2526</v>
      </c>
      <c r="AI12" s="60">
        <f>FX_effect!AI12</f>
        <v>2560</v>
      </c>
      <c r="AJ12" s="60">
        <f>FX_effect!AJ12</f>
        <v>-1293</v>
      </c>
      <c r="AK12" s="60">
        <f>FX_effect!AK12</f>
        <v>288603</v>
      </c>
      <c r="AL12" s="60">
        <f>FX_effect!AL12</f>
        <v>-5068</v>
      </c>
      <c r="AM12" s="60">
        <f>FX_effect!AM12</f>
        <v>-3419</v>
      </c>
      <c r="AN12" s="60">
        <f>FX_effect!AN12</f>
        <v>1528</v>
      </c>
      <c r="AO12" s="60">
        <f>FX_effect!AO12</f>
        <v>-3176</v>
      </c>
      <c r="AP12" s="60">
        <f>FX_effect!AP12</f>
        <v>18425</v>
      </c>
      <c r="AQ12" s="60">
        <f>FX_effect!AQ12</f>
        <v>-31</v>
      </c>
      <c r="AR12" s="60">
        <f>FX_effect!AR12</f>
        <v>1117</v>
      </c>
      <c r="AS12" s="60">
        <f>FX_effect!AS12</f>
        <v>0</v>
      </c>
      <c r="AT12" s="60">
        <f>FX_effect!AT12</f>
        <v>-1148</v>
      </c>
      <c r="AU12" s="60">
        <f>FX_effect!AU12</f>
        <v>76372</v>
      </c>
      <c r="AV12" s="60">
        <f>FX_effect!AV12</f>
        <v>7747</v>
      </c>
      <c r="AW12" s="60">
        <f>FX_effect!AW12</f>
        <v>964</v>
      </c>
      <c r="AX12" s="60">
        <f>FX_effect!AX12</f>
        <v>0</v>
      </c>
      <c r="AY12" s="60">
        <f>FX_effect!AY12</f>
        <v>6783</v>
      </c>
      <c r="AZ12" s="60">
        <f>FX_effect!AZ12</f>
        <v>65524</v>
      </c>
      <c r="BA12" s="60">
        <f>FX_effect!BA12</f>
        <v>-6158</v>
      </c>
      <c r="BB12" s="60">
        <f>FX_effect!BB12</f>
        <v>-5916</v>
      </c>
      <c r="BC12" s="60">
        <f>FX_effect!BC12</f>
        <v>161</v>
      </c>
      <c r="BD12" s="60">
        <f>FX_effect!BD12</f>
        <v>-403</v>
      </c>
      <c r="BE12" s="60">
        <f>FX_effect!BE12</f>
        <v>5213</v>
      </c>
      <c r="BF12" s="60">
        <f>FX_effect!BF12</f>
        <v>-2548</v>
      </c>
      <c r="BG12" s="60">
        <f>FX_effect!BG12</f>
        <v>4789</v>
      </c>
      <c r="BH12" s="60">
        <f>FX_effect!BH12</f>
        <v>0</v>
      </c>
      <c r="BI12" s="60">
        <f>FX_effect!BI12</f>
        <v>-7336</v>
      </c>
      <c r="BJ12" s="60">
        <f>FX_effect!BJ12</f>
        <v>123068</v>
      </c>
      <c r="BK12" s="60">
        <f>FX_effect!BK12</f>
        <v>-4078</v>
      </c>
      <c r="BL12" s="60">
        <f>FX_effect!BL12</f>
        <v>-4374</v>
      </c>
      <c r="BM12" s="60">
        <f>FX_effect!BM12</f>
        <v>1367</v>
      </c>
      <c r="BN12" s="60">
        <f>FX_effect!BN12</f>
        <v>-1071</v>
      </c>
      <c r="BP12" s="54">
        <f>yield!M17</f>
        <v>-1.3467189030362301</v>
      </c>
      <c r="BQ12" s="9"/>
      <c r="BR12" s="11">
        <f t="shared" si="56"/>
        <v>22881</v>
      </c>
      <c r="BS12" s="11">
        <f t="shared" si="57"/>
        <v>-520</v>
      </c>
      <c r="BT12" s="11">
        <f t="shared" si="58"/>
        <v>15840</v>
      </c>
      <c r="BU12" s="11">
        <f t="shared" si="59"/>
        <v>14164</v>
      </c>
      <c r="BV12" s="11">
        <f t="shared" si="60"/>
        <v>-7960</v>
      </c>
      <c r="BW12" s="11">
        <f t="shared" si="61"/>
        <v>91</v>
      </c>
      <c r="BX12" s="11">
        <f t="shared" si="62"/>
        <v>1267</v>
      </c>
      <c r="BY12" s="11">
        <f t="shared" si="63"/>
        <v>-1649</v>
      </c>
      <c r="BZ12" s="11">
        <f t="shared" si="64"/>
        <v>-1148</v>
      </c>
      <c r="CA12" s="11">
        <f t="shared" si="65"/>
        <v>6783</v>
      </c>
      <c r="CB12" s="11">
        <f t="shared" si="66"/>
        <v>-242</v>
      </c>
      <c r="CC12" s="11">
        <f t="shared" si="67"/>
        <v>-7337</v>
      </c>
      <c r="CD12" s="11">
        <f t="shared" si="68"/>
        <v>296</v>
      </c>
      <c r="CE12" s="21">
        <f t="shared" si="69"/>
        <v>5.8324070631226466</v>
      </c>
      <c r="CF12" s="21">
        <f t="shared" si="70"/>
        <v>0.51136387848287335</v>
      </c>
      <c r="CG12" s="21">
        <f t="shared" si="71"/>
        <v>46.193626653200326</v>
      </c>
      <c r="CH12" s="21">
        <f t="shared" si="72"/>
        <v>9.3473970511942497</v>
      </c>
      <c r="CI12" s="21">
        <f t="shared" si="73"/>
        <v>-113.5403683590183</v>
      </c>
      <c r="CJ12" s="21">
        <f t="shared" si="74"/>
        <v>1.4301759783754031</v>
      </c>
      <c r="CK12" s="21">
        <f t="shared" si="75"/>
        <v>2.7463039141907286</v>
      </c>
      <c r="CL12" s="21">
        <f t="shared" si="76"/>
        <v>0.7959250631088377</v>
      </c>
      <c r="CM12" s="21">
        <f t="shared" si="77"/>
        <v>-4.9400085186472769</v>
      </c>
      <c r="CN12" s="21">
        <f t="shared" si="78"/>
        <v>11.384184878212178</v>
      </c>
      <c r="CO12" s="21">
        <f t="shared" si="79"/>
        <v>1.0228921981879413</v>
      </c>
      <c r="CP12" s="21">
        <f t="shared" si="80"/>
        <v>-94.462208004977697</v>
      </c>
      <c r="CQ12" s="21">
        <f t="shared" si="81"/>
        <v>1.6010842412439441</v>
      </c>
      <c r="CR12" s="21"/>
      <c r="CS12" s="21">
        <f t="shared" si="0"/>
        <v>5.0364820000138089</v>
      </c>
      <c r="CT12" s="21">
        <f t="shared" si="0"/>
        <v>5.4513723971301502</v>
      </c>
      <c r="CU12" s="21">
        <f t="shared" si="0"/>
        <v>34.809441774988144</v>
      </c>
      <c r="CV12" s="21">
        <f t="shared" si="0"/>
        <v>8.3245048530063084</v>
      </c>
      <c r="CW12" s="21">
        <f t="shared" si="0"/>
        <v>-19.078160354040605</v>
      </c>
      <c r="CX12" s="21">
        <f t="shared" si="0"/>
        <v>-0.17090826286854099</v>
      </c>
      <c r="CZ12" s="23">
        <f>Balance_on_income!B17</f>
        <v>16877.099999999999</v>
      </c>
      <c r="DA12" s="23">
        <f>Balance_on_income!C17</f>
        <v>4287</v>
      </c>
      <c r="DB12" s="23">
        <f>Balance_on_income!D17</f>
        <v>2319.1999999999998</v>
      </c>
      <c r="DC12" s="23">
        <f>Balance_on_income!E17</f>
        <v>8756.2999999999993</v>
      </c>
      <c r="DD12" s="23">
        <f>Balance_on_income!F17</f>
        <v>1514.6</v>
      </c>
      <c r="DE12" s="23">
        <f>Balance_on_income!G17</f>
        <v>4098.8</v>
      </c>
      <c r="DF12" s="23">
        <f>Balance_on_income!H17</f>
        <v>826.7</v>
      </c>
      <c r="DG12" s="23">
        <f>Balance_on_income!I17</f>
        <v>1361.6</v>
      </c>
      <c r="DH12" s="23">
        <f>Balance_on_income!J17</f>
        <v>921.5</v>
      </c>
      <c r="DI12" s="23">
        <f>Balance_on_income!K17</f>
        <v>989</v>
      </c>
      <c r="DJ12" s="21">
        <f t="shared" si="82"/>
        <v>4.6602010037192221</v>
      </c>
      <c r="DK12" s="21">
        <f t="shared" si="83"/>
        <v>8.4035253643349961</v>
      </c>
      <c r="DL12" s="21">
        <f t="shared" si="84"/>
        <v>7.9286328043010279</v>
      </c>
      <c r="DM12" s="21">
        <f t="shared" si="85"/>
        <v>6.2998221060378778</v>
      </c>
      <c r="DN12" s="21">
        <f t="shared" si="86"/>
        <v>2.4481747412527843</v>
      </c>
      <c r="DO12" s="21">
        <f t="shared" si="87"/>
        <v>2.7798674307309312</v>
      </c>
      <c r="DP12" s="21">
        <f t="shared" si="88"/>
        <v>5.9055522150150308</v>
      </c>
      <c r="DQ12" s="21">
        <f t="shared" si="89"/>
        <v>3.3763048137795071</v>
      </c>
      <c r="DR12" s="21">
        <f t="shared" si="90"/>
        <v>2.668190841421314</v>
      </c>
      <c r="DS12" s="21">
        <f t="shared" si="91"/>
        <v>2.1535673424129653</v>
      </c>
      <c r="DU12" s="11">
        <f t="shared" si="92"/>
        <v>5551</v>
      </c>
      <c r="DV12" s="11">
        <f t="shared" si="93"/>
        <v>-3051</v>
      </c>
      <c r="DW12" s="11">
        <f t="shared" si="94"/>
        <v>13091</v>
      </c>
      <c r="DX12" s="11">
        <f t="shared" si="95"/>
        <v>5773</v>
      </c>
      <c r="DY12" s="11">
        <f t="shared" si="96"/>
        <v>-7960</v>
      </c>
      <c r="DZ12" s="11">
        <f t="shared" si="97"/>
        <v>-1008</v>
      </c>
      <c r="EA12" s="11">
        <f t="shared" si="98"/>
        <v>-1293</v>
      </c>
      <c r="EB12" s="11">
        <f t="shared" si="99"/>
        <v>-3177</v>
      </c>
      <c r="EC12" s="11">
        <f t="shared" si="100"/>
        <v>-1148</v>
      </c>
      <c r="ED12" s="11">
        <f t="shared" si="101"/>
        <v>6783</v>
      </c>
      <c r="EE12" s="11">
        <f t="shared" si="1"/>
        <v>-403</v>
      </c>
      <c r="EF12" s="11">
        <f t="shared" si="2"/>
        <v>-7337</v>
      </c>
      <c r="EG12" s="11">
        <f t="shared" si="3"/>
        <v>-1071</v>
      </c>
      <c r="EH12" s="21">
        <f t="shared" si="4"/>
        <v>2.4488845178668006</v>
      </c>
      <c r="EI12" s="21">
        <f t="shared" si="5"/>
        <v>-3.6440471306063205</v>
      </c>
      <c r="EJ12" s="21">
        <f t="shared" si="6"/>
        <v>38.413726936421419</v>
      </c>
      <c r="EK12" s="21">
        <f t="shared" si="7"/>
        <v>4.618547195468703</v>
      </c>
      <c r="EL12" s="21">
        <f t="shared" si="8"/>
        <v>-113.5403683590183</v>
      </c>
      <c r="EM12" s="21">
        <f t="shared" si="9"/>
        <v>0.64429466311672901</v>
      </c>
      <c r="EN12" s="21">
        <f t="shared" si="10"/>
        <v>-4.4441414986995387E-2</v>
      </c>
      <c r="EO12" s="21">
        <f t="shared" si="11"/>
        <v>0.26851215073775414</v>
      </c>
      <c r="EP12" s="21">
        <f t="shared" si="12"/>
        <v>-4.9400085186472769</v>
      </c>
      <c r="EQ12" s="21">
        <f t="shared" si="13"/>
        <v>11.384184878212178</v>
      </c>
      <c r="ER12" s="21">
        <f t="shared" si="14"/>
        <v>0.79522302624073227</v>
      </c>
      <c r="ES12" s="21">
        <f t="shared" si="102"/>
        <v>-94.462208004977697</v>
      </c>
      <c r="ET12" s="21">
        <f t="shared" si="15"/>
        <v>0.51126548323809917</v>
      </c>
      <c r="EV12" s="23">
        <f t="shared" si="16"/>
        <v>39758.1</v>
      </c>
      <c r="EW12" s="23">
        <f t="shared" si="17"/>
        <v>3767</v>
      </c>
      <c r="EX12" s="23">
        <f t="shared" si="17"/>
        <v>18159.2</v>
      </c>
      <c r="EY12" s="23">
        <f t="shared" si="17"/>
        <v>22920.3</v>
      </c>
      <c r="EZ12" s="23">
        <f t="shared" si="18"/>
        <v>1605.6</v>
      </c>
      <c r="FA12" s="23">
        <f t="shared" si="19"/>
        <v>1267</v>
      </c>
      <c r="FB12" s="23">
        <f t="shared" si="20"/>
        <v>2449.8000000000002</v>
      </c>
      <c r="FC12" s="23">
        <f t="shared" si="21"/>
        <v>-321.29999999999995</v>
      </c>
      <c r="FD12" s="23">
        <f t="shared" si="21"/>
        <v>8144.6</v>
      </c>
      <c r="FE12" s="23">
        <f t="shared" si="21"/>
        <v>679.5</v>
      </c>
      <c r="FF12" s="23">
        <f t="shared" si="22"/>
        <v>1285</v>
      </c>
      <c r="FG12" s="21">
        <f t="shared" si="23"/>
        <v>9.1275050636152386</v>
      </c>
      <c r="FH12" s="21">
        <f t="shared" si="24"/>
        <v>7.5497862395912607</v>
      </c>
      <c r="FI12" s="21">
        <f t="shared" si="25"/>
        <v>52.757156454274742</v>
      </c>
      <c r="FJ12" s="21">
        <f t="shared" si="26"/>
        <v>14.28211615400552</v>
      </c>
      <c r="FK12" s="21">
        <f t="shared" si="27"/>
        <v>2.5132477164015787</v>
      </c>
      <c r="FL12" s="21">
        <f t="shared" si="28"/>
        <v>2.7463039141907286</v>
      </c>
      <c r="FM12" s="21">
        <f t="shared" si="29"/>
        <v>2.2106894906131824</v>
      </c>
      <c r="FN12" s="21">
        <f t="shared" si="30"/>
        <v>-0.39955930685883212</v>
      </c>
      <c r="FO12" s="21">
        <f t="shared" si="31"/>
        <v>13.395386688765099</v>
      </c>
      <c r="FP12" s="21">
        <f t="shared" si="32"/>
        <v>2.3259800363826466</v>
      </c>
      <c r="FQ12" s="21">
        <f t="shared" si="33"/>
        <v>2.3895485804303229</v>
      </c>
      <c r="FS12" s="21">
        <f t="shared" si="103"/>
        <v>6.9168155730020562</v>
      </c>
      <c r="FT12" s="21">
        <f t="shared" si="103"/>
        <v>7.9493455464500933</v>
      </c>
      <c r="FU12" s="21">
        <f t="shared" si="103"/>
        <v>39.361769765509642</v>
      </c>
      <c r="FV12" s="21">
        <f t="shared" si="103"/>
        <v>11.956136117622872</v>
      </c>
      <c r="FW12" s="21">
        <f t="shared" si="103"/>
        <v>0.12369913597125581</v>
      </c>
      <c r="FY12" s="23">
        <f t="shared" si="34"/>
        <v>22428.1</v>
      </c>
      <c r="FZ12" s="23">
        <f t="shared" si="35"/>
        <v>1236</v>
      </c>
      <c r="GA12" s="23">
        <f t="shared" si="35"/>
        <v>15410.2</v>
      </c>
      <c r="GB12" s="23">
        <f t="shared" si="35"/>
        <v>14529.3</v>
      </c>
      <c r="GC12" s="23">
        <f t="shared" si="36"/>
        <v>506.59999999999991</v>
      </c>
      <c r="GD12" s="23">
        <f t="shared" si="37"/>
        <v>-1293</v>
      </c>
      <c r="GE12" s="23">
        <f t="shared" si="38"/>
        <v>921.80000000000018</v>
      </c>
      <c r="GF12" s="23">
        <f t="shared" si="39"/>
        <v>-321.29999999999995</v>
      </c>
      <c r="GG12" s="23">
        <f t="shared" si="39"/>
        <v>8144.6</v>
      </c>
      <c r="GH12" s="23">
        <f t="shared" si="39"/>
        <v>518.5</v>
      </c>
      <c r="GI12" s="23">
        <f t="shared" si="40"/>
        <v>-82</v>
      </c>
      <c r="GJ12" s="21">
        <f t="shared" si="41"/>
        <v>5.7439825183594362</v>
      </c>
      <c r="GK12" s="21">
        <f t="shared" si="42"/>
        <v>3.394375230502078</v>
      </c>
      <c r="GL12" s="21">
        <f t="shared" si="43"/>
        <v>44.977256737495864</v>
      </c>
      <c r="GM12" s="21">
        <f t="shared" si="44"/>
        <v>9.5532662982799934</v>
      </c>
      <c r="GN12" s="21">
        <f t="shared" si="45"/>
        <v>1.7273664011429046</v>
      </c>
      <c r="GO12" s="21">
        <f t="shared" si="46"/>
        <v>-4.4441414986995387E-2</v>
      </c>
      <c r="GP12" s="21">
        <f t="shared" si="47"/>
        <v>1.6832765782420767</v>
      </c>
      <c r="GQ12" s="21">
        <f t="shared" si="48"/>
        <v>-0.39955930685883212</v>
      </c>
      <c r="GR12" s="21">
        <f t="shared" si="49"/>
        <v>13.395386688765099</v>
      </c>
      <c r="GS12" s="21">
        <f t="shared" si="50"/>
        <v>2.0983108644354376</v>
      </c>
      <c r="GT12" s="21">
        <f t="shared" si="51"/>
        <v>1.2997298224245002</v>
      </c>
      <c r="GV12" s="21">
        <f t="shared" si="104"/>
        <v>4.0607059401173595</v>
      </c>
      <c r="GW12" s="21">
        <f t="shared" si="104"/>
        <v>3.7939345373609101</v>
      </c>
      <c r="GX12" s="21">
        <f t="shared" si="104"/>
        <v>31.581870048730764</v>
      </c>
      <c r="GY12" s="21">
        <f t="shared" si="104"/>
        <v>7.4549554338445558</v>
      </c>
      <c r="GZ12" s="21">
        <f t="shared" si="104"/>
        <v>0.42763657871840444</v>
      </c>
      <c r="HC12" s="44">
        <f t="shared" si="52"/>
        <v>3.2092109555101903E-2</v>
      </c>
      <c r="HD12" s="44">
        <f t="shared" si="53"/>
        <v>1.2855389079545771E-2</v>
      </c>
      <c r="HE12" s="8"/>
      <c r="HF12" s="44">
        <f t="shared" si="54"/>
        <v>4.6181229938703217</v>
      </c>
      <c r="HG12" s="44">
        <f t="shared" si="55"/>
        <v>2.668190841421314</v>
      </c>
      <c r="HH12" s="44">
        <f t="shared" si="105"/>
        <v>1.9499321524490076</v>
      </c>
    </row>
    <row r="13" spans="1:216" s="11" customFormat="1" ht="15">
      <c r="A13" s="11">
        <v>2010</v>
      </c>
      <c r="B13" s="59">
        <f>FX_effect!B13</f>
        <v>563526</v>
      </c>
      <c r="C13" s="59">
        <f>FX_effect!C13</f>
        <v>8700</v>
      </c>
      <c r="D13" s="59">
        <f>FX_effect!D13</f>
        <v>49348</v>
      </c>
      <c r="E13" s="59">
        <f>FX_effect!E13</f>
        <v>-51438</v>
      </c>
      <c r="F13" s="59">
        <f>FX_effect!F13</f>
        <v>10790</v>
      </c>
      <c r="G13" s="59">
        <f>FX_effect!G13</f>
        <v>67691</v>
      </c>
      <c r="H13" s="59">
        <f>FX_effect!H13</f>
        <v>-519</v>
      </c>
      <c r="I13" s="59">
        <f>FX_effect!I13</f>
        <v>4939</v>
      </c>
      <c r="J13" s="59">
        <f>FX_effect!J13</f>
        <v>-5500</v>
      </c>
      <c r="K13" s="59">
        <f>FX_effect!K13</f>
        <v>43</v>
      </c>
      <c r="L13" s="59">
        <f>FX_effect!L13</f>
        <v>55262</v>
      </c>
      <c r="M13" s="59">
        <f>FX_effect!M13</f>
        <v>575</v>
      </c>
      <c r="N13" s="59">
        <f>FX_effect!N13</f>
        <v>2057</v>
      </c>
      <c r="O13" s="59">
        <f>FX_effect!O13</f>
        <v>-6509</v>
      </c>
      <c r="P13" s="59">
        <f>FX_effect!P13</f>
        <v>5027</v>
      </c>
      <c r="Q13" s="59">
        <f>FX_effect!Q13</f>
        <v>217256</v>
      </c>
      <c r="R13" s="59">
        <f>FX_effect!R13</f>
        <v>9954</v>
      </c>
      <c r="S13" s="59">
        <f>FX_effect!S13</f>
        <v>23777</v>
      </c>
      <c r="T13" s="59">
        <f>FX_effect!T13</f>
        <v>-19180</v>
      </c>
      <c r="U13" s="59">
        <f>FX_effect!U13</f>
        <v>5356</v>
      </c>
      <c r="V13" s="59">
        <f>FX_effect!V13</f>
        <v>4287</v>
      </c>
      <c r="W13" s="59">
        <f>FX_effect!W13</f>
        <v>35</v>
      </c>
      <c r="X13" s="59">
        <f>FX_effect!X13</f>
        <v>6371</v>
      </c>
      <c r="Y13" s="59">
        <f>FX_effect!Y13</f>
        <v>-1</v>
      </c>
      <c r="Z13" s="59">
        <f>FX_effect!Z13</f>
        <v>-6334</v>
      </c>
      <c r="AA13" s="60">
        <f>FX_effect!AA13</f>
        <v>129700</v>
      </c>
      <c r="AB13" s="60">
        <f>FX_effect!AB13</f>
        <v>6101</v>
      </c>
      <c r="AC13" s="60">
        <f>FX_effect!AC13</f>
        <v>8412</v>
      </c>
      <c r="AD13" s="60">
        <f>FX_effect!AD13</f>
        <v>-7355</v>
      </c>
      <c r="AE13" s="60">
        <f>FX_effect!AE13</f>
        <v>5044</v>
      </c>
      <c r="AF13" s="60">
        <f>FX_effect!AF13</f>
        <v>89330</v>
      </c>
      <c r="AG13" s="60">
        <f>FX_effect!AG13</f>
        <v>-7447</v>
      </c>
      <c r="AH13" s="60">
        <f>FX_effect!AH13</f>
        <v>3792</v>
      </c>
      <c r="AI13" s="60">
        <f>FX_effect!AI13</f>
        <v>-12893</v>
      </c>
      <c r="AJ13" s="60">
        <f>FX_effect!AJ13</f>
        <v>1654</v>
      </c>
      <c r="AK13" s="60">
        <f>FX_effect!AK13</f>
        <v>312031</v>
      </c>
      <c r="AL13" s="60">
        <f>FX_effect!AL13</f>
        <v>23428</v>
      </c>
      <c r="AM13" s="60">
        <f>FX_effect!AM13</f>
        <v>33018</v>
      </c>
      <c r="AN13" s="60">
        <f>FX_effect!AN13</f>
        <v>-10106</v>
      </c>
      <c r="AO13" s="60">
        <f>FX_effect!AO13</f>
        <v>517</v>
      </c>
      <c r="AP13" s="60">
        <f>FX_effect!AP13</f>
        <v>17502</v>
      </c>
      <c r="AQ13" s="60">
        <f>FX_effect!AQ13</f>
        <v>-923</v>
      </c>
      <c r="AR13" s="60">
        <f>FX_effect!AR13</f>
        <v>-110</v>
      </c>
      <c r="AS13" s="60">
        <f>FX_effect!AS13</f>
        <v>0</v>
      </c>
      <c r="AT13" s="60">
        <f>FX_effect!AT13</f>
        <v>-813</v>
      </c>
      <c r="AU13" s="60">
        <f>FX_effect!AU13</f>
        <v>80537</v>
      </c>
      <c r="AV13" s="60">
        <f>FX_effect!AV13</f>
        <v>4165</v>
      </c>
      <c r="AW13" s="60">
        <f>FX_effect!AW13</f>
        <v>2920</v>
      </c>
      <c r="AX13" s="60">
        <f>FX_effect!AX13</f>
        <v>0</v>
      </c>
      <c r="AY13" s="60">
        <f>FX_effect!AY13</f>
        <v>1245</v>
      </c>
      <c r="AZ13" s="60">
        <f>FX_effect!AZ13</f>
        <v>71914</v>
      </c>
      <c r="BA13" s="60">
        <f>FX_effect!BA13</f>
        <v>6390</v>
      </c>
      <c r="BB13" s="60">
        <f>FX_effect!BB13</f>
        <v>6678</v>
      </c>
      <c r="BC13" s="60">
        <f>FX_effect!BC13</f>
        <v>-629</v>
      </c>
      <c r="BD13" s="60">
        <f>FX_effect!BD13</f>
        <v>341</v>
      </c>
      <c r="BE13" s="60">
        <f>FX_effect!BE13</f>
        <v>5267</v>
      </c>
      <c r="BF13" s="60">
        <f>FX_effect!BF13</f>
        <v>54</v>
      </c>
      <c r="BG13" s="60">
        <f>FX_effect!BG13</f>
        <v>6423</v>
      </c>
      <c r="BH13" s="60">
        <f>FX_effect!BH13</f>
        <v>0</v>
      </c>
      <c r="BI13" s="60">
        <f>FX_effect!BI13</f>
        <v>-6369</v>
      </c>
      <c r="BJ13" s="60">
        <f>FX_effect!BJ13</f>
        <v>136810</v>
      </c>
      <c r="BK13" s="60">
        <f>FX_effect!BK13</f>
        <v>13742</v>
      </c>
      <c r="BL13" s="60">
        <f>FX_effect!BL13</f>
        <v>17107</v>
      </c>
      <c r="BM13" s="60">
        <f>FX_effect!BM13</f>
        <v>-9477</v>
      </c>
      <c r="BN13" s="60">
        <f>FX_effect!BN13</f>
        <v>6113</v>
      </c>
      <c r="BP13" s="54">
        <f>yield!M18</f>
        <v>-0.71978158351947696</v>
      </c>
      <c r="BQ13" s="9"/>
      <c r="BR13" s="11">
        <f t="shared" si="56"/>
        <v>-40648</v>
      </c>
      <c r="BS13" s="11">
        <f t="shared" si="57"/>
        <v>-5458</v>
      </c>
      <c r="BT13" s="11">
        <f t="shared" si="58"/>
        <v>-1482</v>
      </c>
      <c r="BU13" s="11">
        <f t="shared" si="59"/>
        <v>-13823</v>
      </c>
      <c r="BV13" s="11">
        <f t="shared" si="60"/>
        <v>-6336</v>
      </c>
      <c r="BW13" s="11">
        <f t="shared" si="61"/>
        <v>-2311</v>
      </c>
      <c r="BX13" s="11">
        <f t="shared" si="62"/>
        <v>-11239</v>
      </c>
      <c r="BY13" s="11">
        <f t="shared" si="63"/>
        <v>-9590</v>
      </c>
      <c r="BZ13" s="11">
        <f t="shared" si="64"/>
        <v>-813</v>
      </c>
      <c r="CA13" s="11">
        <f t="shared" si="65"/>
        <v>1245</v>
      </c>
      <c r="CB13" s="11">
        <f t="shared" si="66"/>
        <v>-288</v>
      </c>
      <c r="CC13" s="11">
        <f t="shared" si="67"/>
        <v>-6369</v>
      </c>
      <c r="CD13" s="11">
        <f t="shared" si="68"/>
        <v>-3365</v>
      </c>
      <c r="CE13" s="21">
        <f t="shared" si="69"/>
        <v>-6.6543762368742705</v>
      </c>
      <c r="CF13" s="21">
        <f t="shared" si="70"/>
        <v>-7.3347720275619537</v>
      </c>
      <c r="CG13" s="21">
        <f t="shared" si="71"/>
        <v>-2.0046148993362323</v>
      </c>
      <c r="CH13" s="21">
        <f t="shared" si="72"/>
        <v>-5.9913928712699409</v>
      </c>
      <c r="CI13" s="21">
        <f t="shared" si="73"/>
        <v>-149.36756820319849</v>
      </c>
      <c r="CJ13" s="21">
        <f t="shared" si="74"/>
        <v>-1.1583119604527736</v>
      </c>
      <c r="CK13" s="21">
        <f t="shared" si="75"/>
        <v>-10.972492947704527</v>
      </c>
      <c r="CL13" s="21">
        <f t="shared" si="76"/>
        <v>-2.621994833733543</v>
      </c>
      <c r="CM13" s="21">
        <f t="shared" si="77"/>
        <v>-3.7194735413839997</v>
      </c>
      <c r="CN13" s="21">
        <f t="shared" si="78"/>
        <v>2.3669973943329925</v>
      </c>
      <c r="CO13" s="21">
        <f t="shared" si="79"/>
        <v>0.28227977534949211</v>
      </c>
      <c r="CP13" s="21">
        <f t="shared" si="80"/>
        <v>-122.33610205256089</v>
      </c>
      <c r="CQ13" s="21">
        <f t="shared" si="81"/>
        <v>-2.0290841242240121</v>
      </c>
      <c r="CR13" s="21"/>
      <c r="CS13" s="21">
        <f t="shared" si="0"/>
        <v>-4.032381403140727</v>
      </c>
      <c r="CT13" s="21">
        <f t="shared" si="0"/>
        <v>-3.615298486177954</v>
      </c>
      <c r="CU13" s="21">
        <f t="shared" si="0"/>
        <v>-4.3716122936692248</v>
      </c>
      <c r="CV13" s="21">
        <f t="shared" si="0"/>
        <v>-6.273672646619433</v>
      </c>
      <c r="CW13" s="21">
        <f t="shared" si="0"/>
        <v>-27.031466150637598</v>
      </c>
      <c r="CX13" s="21">
        <f t="shared" si="0"/>
        <v>0.87077216377123845</v>
      </c>
      <c r="CZ13" s="23">
        <f>Balance_on_income!B18</f>
        <v>15936.2</v>
      </c>
      <c r="DA13" s="23">
        <f>Balance_on_income!C18</f>
        <v>3357.8</v>
      </c>
      <c r="DB13" s="23">
        <f>Balance_on_income!D18</f>
        <v>3144.5</v>
      </c>
      <c r="DC13" s="23">
        <f>Balance_on_income!E18</f>
        <v>8224.9</v>
      </c>
      <c r="DD13" s="23">
        <f>Balance_on_income!F18</f>
        <v>1209</v>
      </c>
      <c r="DE13" s="23">
        <f>Balance_on_income!G18</f>
        <v>3516.9</v>
      </c>
      <c r="DF13" s="23">
        <f>Balance_on_income!H18</f>
        <v>506.6</v>
      </c>
      <c r="DG13" s="23">
        <f>Balance_on_income!I18</f>
        <v>1505.9</v>
      </c>
      <c r="DH13" s="23">
        <f>Balance_on_income!J18</f>
        <v>870.4</v>
      </c>
      <c r="DI13" s="23">
        <f>Balance_on_income!K18</f>
        <v>634</v>
      </c>
      <c r="DJ13" s="21">
        <f t="shared" si="82"/>
        <v>3.6181119756464097</v>
      </c>
      <c r="DK13" s="21">
        <f t="shared" si="83"/>
        <v>5.6834284562380821</v>
      </c>
      <c r="DL13" s="21">
        <f t="shared" si="84"/>
        <v>6.5166828953864497</v>
      </c>
      <c r="DM13" s="21">
        <f t="shared" si="85"/>
        <v>4.7213582237508378</v>
      </c>
      <c r="DN13" s="21">
        <f t="shared" si="86"/>
        <v>1.7102549373376519</v>
      </c>
      <c r="DO13" s="21">
        <f t="shared" si="87"/>
        <v>1.9524292107150565</v>
      </c>
      <c r="DP13" s="21">
        <f t="shared" si="88"/>
        <v>3.494459158751706</v>
      </c>
      <c r="DQ13" s="21">
        <f t="shared" si="89"/>
        <v>2.711091466767912</v>
      </c>
      <c r="DR13" s="21">
        <f t="shared" si="90"/>
        <v>2.0629989011659688</v>
      </c>
      <c r="DS13" s="21">
        <f t="shared" si="91"/>
        <v>1.2438972763025191</v>
      </c>
      <c r="DU13" s="11">
        <f t="shared" si="92"/>
        <v>10790</v>
      </c>
      <c r="DV13" s="11">
        <f t="shared" si="93"/>
        <v>42</v>
      </c>
      <c r="DW13" s="11">
        <f t="shared" si="94"/>
        <v>5027</v>
      </c>
      <c r="DX13" s="11">
        <f t="shared" si="95"/>
        <v>5357</v>
      </c>
      <c r="DY13" s="11">
        <f t="shared" si="96"/>
        <v>-6335</v>
      </c>
      <c r="DZ13" s="11">
        <f t="shared" si="97"/>
        <v>5044</v>
      </c>
      <c r="EA13" s="11">
        <f t="shared" si="98"/>
        <v>1654</v>
      </c>
      <c r="EB13" s="11">
        <f t="shared" si="99"/>
        <v>516</v>
      </c>
      <c r="EC13" s="11">
        <f t="shared" si="100"/>
        <v>-813</v>
      </c>
      <c r="ED13" s="11">
        <f t="shared" si="101"/>
        <v>1245</v>
      </c>
      <c r="EE13" s="11">
        <f t="shared" si="1"/>
        <v>341</v>
      </c>
      <c r="EF13" s="11">
        <f t="shared" si="2"/>
        <v>-6369</v>
      </c>
      <c r="EG13" s="11">
        <f t="shared" si="3"/>
        <v>6112</v>
      </c>
      <c r="EH13" s="21">
        <f t="shared" si="4"/>
        <v>2.683853316174778</v>
      </c>
      <c r="EI13" s="21">
        <f t="shared" si="5"/>
        <v>0.78702096466793936</v>
      </c>
      <c r="EJ13" s="21">
        <f t="shared" si="6"/>
        <v>9.983956881891487</v>
      </c>
      <c r="EK13" s="21">
        <f t="shared" si="7"/>
        <v>3.3278876952465231</v>
      </c>
      <c r="EL13" s="21">
        <f t="shared" si="8"/>
        <v>-149.3438793508937</v>
      </c>
      <c r="EM13" s="21">
        <f t="shared" si="9"/>
        <v>4.8355259751292401</v>
      </c>
      <c r="EN13" s="21">
        <f t="shared" si="10"/>
        <v>2.4464746272357951</v>
      </c>
      <c r="EO13" s="21">
        <f t="shared" si="11"/>
        <v>0.90508856456792408</v>
      </c>
      <c r="EP13" s="21">
        <f t="shared" si="12"/>
        <v>-3.7194735413839997</v>
      </c>
      <c r="EQ13" s="21">
        <f t="shared" si="13"/>
        <v>2.3669973943329925</v>
      </c>
      <c r="ER13" s="21">
        <f t="shared" si="14"/>
        <v>1.2491930437702248</v>
      </c>
      <c r="ES13" s="21">
        <f t="shared" si="102"/>
        <v>-122.33610205256089</v>
      </c>
      <c r="ET13" s="21">
        <f t="shared" si="15"/>
        <v>5.7273661715474322</v>
      </c>
      <c r="EV13" s="23">
        <f t="shared" si="16"/>
        <v>-24711.8</v>
      </c>
      <c r="EW13" s="23">
        <f t="shared" si="17"/>
        <v>-2100.1999999999998</v>
      </c>
      <c r="EX13" s="23">
        <f t="shared" si="17"/>
        <v>1662.5</v>
      </c>
      <c r="EY13" s="23">
        <f t="shared" si="17"/>
        <v>-5598.1</v>
      </c>
      <c r="EZ13" s="23">
        <f t="shared" si="18"/>
        <v>-1102</v>
      </c>
      <c r="FA13" s="23">
        <f t="shared" si="19"/>
        <v>-11239</v>
      </c>
      <c r="FB13" s="23">
        <f t="shared" si="20"/>
        <v>-6073.1</v>
      </c>
      <c r="FC13" s="23">
        <f t="shared" si="21"/>
        <v>-306.39999999999998</v>
      </c>
      <c r="FD13" s="23">
        <f t="shared" si="21"/>
        <v>2750.9</v>
      </c>
      <c r="FE13" s="23">
        <f t="shared" si="21"/>
        <v>582.4</v>
      </c>
      <c r="FF13" s="23">
        <f t="shared" si="22"/>
        <v>-2731</v>
      </c>
      <c r="FG13" s="21">
        <f t="shared" si="23"/>
        <v>-3.7612642612278591</v>
      </c>
      <c r="FH13" s="21">
        <f t="shared" si="24"/>
        <v>-2.376343571323869</v>
      </c>
      <c r="FI13" s="21">
        <f t="shared" si="25"/>
        <v>3.7870679960502418</v>
      </c>
      <c r="FJ13" s="21">
        <f t="shared" si="26"/>
        <v>-1.9950346475190894</v>
      </c>
      <c r="FK13" s="21">
        <f t="shared" si="27"/>
        <v>-0.17305702311508631</v>
      </c>
      <c r="FL13" s="21">
        <f t="shared" si="28"/>
        <v>-10.972492947704527</v>
      </c>
      <c r="FM13" s="21">
        <f t="shared" si="29"/>
        <v>-1.3945656230184844</v>
      </c>
      <c r="FN13" s="21">
        <f t="shared" si="30"/>
        <v>-0.95001438263230265</v>
      </c>
      <c r="FO13" s="21">
        <f t="shared" si="31"/>
        <v>4.3530888611009066</v>
      </c>
      <c r="FP13" s="21">
        <f t="shared" si="32"/>
        <v>1.6202786765154853</v>
      </c>
      <c r="FQ13" s="21">
        <f t="shared" si="33"/>
        <v>-1.5101868479214908</v>
      </c>
      <c r="FS13" s="21">
        <f t="shared" si="103"/>
        <v>-2.3666986382093746</v>
      </c>
      <c r="FT13" s="21">
        <f t="shared" si="103"/>
        <v>-1.4263291886915663</v>
      </c>
      <c r="FU13" s="21">
        <f t="shared" si="103"/>
        <v>-0.56602086505066485</v>
      </c>
      <c r="FV13" s="21">
        <f t="shared" si="103"/>
        <v>-3.6153133240345747</v>
      </c>
      <c r="FW13" s="21">
        <f t="shared" si="103"/>
        <v>1.3371298248064045</v>
      </c>
      <c r="FY13" s="23">
        <f t="shared" si="34"/>
        <v>26726.2</v>
      </c>
      <c r="FZ13" s="23">
        <f t="shared" si="35"/>
        <v>3399.8</v>
      </c>
      <c r="GA13" s="23">
        <f t="shared" si="35"/>
        <v>8171.5</v>
      </c>
      <c r="GB13" s="23">
        <f t="shared" si="35"/>
        <v>13581.9</v>
      </c>
      <c r="GC13" s="23">
        <f t="shared" si="36"/>
        <v>6253</v>
      </c>
      <c r="GD13" s="23">
        <f t="shared" si="37"/>
        <v>1654</v>
      </c>
      <c r="GE13" s="23">
        <f t="shared" si="38"/>
        <v>4032.9</v>
      </c>
      <c r="GF13" s="23">
        <f t="shared" si="39"/>
        <v>-306.39999999999998</v>
      </c>
      <c r="GG13" s="23">
        <f t="shared" si="39"/>
        <v>2750.9</v>
      </c>
      <c r="GH13" s="23">
        <f t="shared" si="39"/>
        <v>1211.4000000000001</v>
      </c>
      <c r="GI13" s="23">
        <f t="shared" si="40"/>
        <v>6746</v>
      </c>
      <c r="GJ13" s="21">
        <f t="shared" si="41"/>
        <v>5.576965291821212</v>
      </c>
      <c r="GK13" s="21">
        <f t="shared" si="42"/>
        <v>5.7454494209060014</v>
      </c>
      <c r="GL13" s="21">
        <f t="shared" si="43"/>
        <v>15.775639777277961</v>
      </c>
      <c r="GM13" s="21">
        <f t="shared" si="44"/>
        <v>7.3242459189974074</v>
      </c>
      <c r="GN13" s="21">
        <f t="shared" si="45"/>
        <v>5.8207809124669163</v>
      </c>
      <c r="GO13" s="21">
        <f t="shared" si="46"/>
        <v>2.4464746272357951</v>
      </c>
      <c r="GP13" s="21">
        <f t="shared" si="47"/>
        <v>2.1325177752829827</v>
      </c>
      <c r="GQ13" s="21">
        <f t="shared" si="48"/>
        <v>-0.95001438263230265</v>
      </c>
      <c r="GR13" s="21">
        <f t="shared" si="49"/>
        <v>4.3530888611009066</v>
      </c>
      <c r="GS13" s="21">
        <f t="shared" si="50"/>
        <v>2.5871919449361958</v>
      </c>
      <c r="GT13" s="21">
        <f t="shared" si="51"/>
        <v>6.2462634478499757</v>
      </c>
      <c r="GV13" s="21">
        <f t="shared" si="104"/>
        <v>3.4444475165382293</v>
      </c>
      <c r="GW13" s="21">
        <f t="shared" si="104"/>
        <v>6.6954638035383045</v>
      </c>
      <c r="GX13" s="21">
        <f t="shared" si="104"/>
        <v>11.422550916177055</v>
      </c>
      <c r="GY13" s="21">
        <f t="shared" si="104"/>
        <v>4.7370539740612116</v>
      </c>
      <c r="GZ13" s="21">
        <f t="shared" si="104"/>
        <v>-0.42548253538305936</v>
      </c>
      <c r="HC13" s="44">
        <f t="shared" si="52"/>
        <v>2.7048563037894758E-2</v>
      </c>
      <c r="HD13" s="44">
        <f t="shared" si="53"/>
        <v>1.3283682314876991E-2</v>
      </c>
      <c r="HE13" s="8"/>
      <c r="HF13" s="44">
        <f t="shared" si="54"/>
        <v>3.4494665119919388</v>
      </c>
      <c r="HG13" s="44">
        <f t="shared" si="55"/>
        <v>2.0629989011659688</v>
      </c>
      <c r="HH13" s="44">
        <f t="shared" si="105"/>
        <v>1.3864676108259699</v>
      </c>
    </row>
    <row r="14" spans="1:216" s="11" customFormat="1" ht="15">
      <c r="A14" s="11">
        <v>2011</v>
      </c>
      <c r="B14" s="59">
        <f>FX_effect!B14</f>
        <v>582048</v>
      </c>
      <c r="C14" s="59">
        <f>FX_effect!C14</f>
        <v>18523</v>
      </c>
      <c r="D14" s="59">
        <f>FX_effect!D14</f>
        <v>45955</v>
      </c>
      <c r="E14" s="59">
        <f>FX_effect!E14</f>
        <v>-23344</v>
      </c>
      <c r="F14" s="59">
        <f>FX_effect!F14</f>
        <v>-4089</v>
      </c>
      <c r="G14" s="59">
        <f>FX_effect!G14</f>
        <v>74828</v>
      </c>
      <c r="H14" s="59">
        <f>FX_effect!H14</f>
        <v>7137</v>
      </c>
      <c r="I14" s="59">
        <f>FX_effect!I14</f>
        <v>9126</v>
      </c>
      <c r="J14" s="59">
        <f>FX_effect!J14</f>
        <v>-3135</v>
      </c>
      <c r="K14" s="59">
        <f>FX_effect!K14</f>
        <v>1146</v>
      </c>
      <c r="L14" s="59">
        <f>FX_effect!L14</f>
        <v>51750</v>
      </c>
      <c r="M14" s="59">
        <f>FX_effect!M14</f>
        <v>-3513</v>
      </c>
      <c r="N14" s="59">
        <f>FX_effect!N14</f>
        <v>929</v>
      </c>
      <c r="O14" s="59">
        <f>FX_effect!O14</f>
        <v>-2742</v>
      </c>
      <c r="P14" s="59">
        <f>FX_effect!P14</f>
        <v>-1699</v>
      </c>
      <c r="Q14" s="59">
        <f>FX_effect!Q14</f>
        <v>210574</v>
      </c>
      <c r="R14" s="59">
        <f>FX_effect!R14</f>
        <v>-6681</v>
      </c>
      <c r="S14" s="59">
        <f>FX_effect!S14</f>
        <v>5194</v>
      </c>
      <c r="T14" s="59">
        <f>FX_effect!T14</f>
        <v>-8785</v>
      </c>
      <c r="U14" s="59">
        <f>FX_effect!U14</f>
        <v>-3091</v>
      </c>
      <c r="V14" s="59">
        <f>FX_effect!V14</f>
        <v>4188</v>
      </c>
      <c r="W14" s="59">
        <f>FX_effect!W14</f>
        <v>-99</v>
      </c>
      <c r="X14" s="59">
        <f>FX_effect!X14</f>
        <v>6155</v>
      </c>
      <c r="Y14" s="59">
        <f>FX_effect!Y14</f>
        <v>-1</v>
      </c>
      <c r="Z14" s="59">
        <f>FX_effect!Z14</f>
        <v>-6253</v>
      </c>
      <c r="AA14" s="60">
        <f>FX_effect!AA14</f>
        <v>140192</v>
      </c>
      <c r="AB14" s="60">
        <f>FX_effect!AB14</f>
        <v>10491</v>
      </c>
      <c r="AC14" s="60">
        <f>FX_effect!AC14</f>
        <v>10761</v>
      </c>
      <c r="AD14" s="60">
        <f>FX_effect!AD14</f>
        <v>-3121</v>
      </c>
      <c r="AE14" s="60">
        <f>FX_effect!AE14</f>
        <v>2851</v>
      </c>
      <c r="AF14" s="60">
        <f>FX_effect!AF14</f>
        <v>100517</v>
      </c>
      <c r="AG14" s="60">
        <f>FX_effect!AG14</f>
        <v>11187</v>
      </c>
      <c r="AH14" s="60">
        <f>FX_effect!AH14</f>
        <v>13790</v>
      </c>
      <c r="AI14" s="60">
        <f>FX_effect!AI14</f>
        <v>-5560</v>
      </c>
      <c r="AJ14" s="60">
        <f>FX_effect!AJ14</f>
        <v>2957</v>
      </c>
      <c r="AK14" s="60">
        <f>FX_effect!AK14</f>
        <v>329038</v>
      </c>
      <c r="AL14" s="60">
        <f>FX_effect!AL14</f>
        <v>17008</v>
      </c>
      <c r="AM14" s="60">
        <f>FX_effect!AM14</f>
        <v>37180</v>
      </c>
      <c r="AN14" s="60">
        <f>FX_effect!AN14</f>
        <v>-4103</v>
      </c>
      <c r="AO14" s="60">
        <f>FX_effect!AO14</f>
        <v>-16069</v>
      </c>
      <c r="AP14" s="60">
        <f>FX_effect!AP14</f>
        <v>17548</v>
      </c>
      <c r="AQ14" s="60">
        <f>FX_effect!AQ14</f>
        <v>46</v>
      </c>
      <c r="AR14" s="60">
        <f>FX_effect!AR14</f>
        <v>-140</v>
      </c>
      <c r="AS14" s="60">
        <f>FX_effect!AS14</f>
        <v>0</v>
      </c>
      <c r="AT14" s="60">
        <f>FX_effect!AT14</f>
        <v>187</v>
      </c>
      <c r="AU14" s="60">
        <f>FX_effect!AU14</f>
        <v>65841</v>
      </c>
      <c r="AV14" s="60">
        <f>FX_effect!AV14</f>
        <v>-14696</v>
      </c>
      <c r="AW14" s="60">
        <f>FX_effect!AW14</f>
        <v>551</v>
      </c>
      <c r="AX14" s="60">
        <f>FX_effect!AX14</f>
        <v>0</v>
      </c>
      <c r="AY14" s="60">
        <f>FX_effect!AY14</f>
        <v>-15246</v>
      </c>
      <c r="AZ14" s="60">
        <f>FX_effect!AZ14</f>
        <v>91639</v>
      </c>
      <c r="BA14" s="60">
        <f>FX_effect!BA14</f>
        <v>19725</v>
      </c>
      <c r="BB14" s="60">
        <f>FX_effect!BB14</f>
        <v>20869</v>
      </c>
      <c r="BC14" s="60">
        <f>FX_effect!BC14</f>
        <v>-233</v>
      </c>
      <c r="BD14" s="60">
        <f>FX_effect!BD14</f>
        <v>-911</v>
      </c>
      <c r="BE14" s="60">
        <f>FX_effect!BE14</f>
        <v>5641</v>
      </c>
      <c r="BF14" s="60">
        <f>FX_effect!BF14</f>
        <v>374</v>
      </c>
      <c r="BG14" s="60">
        <f>FX_effect!BG14</f>
        <v>6286</v>
      </c>
      <c r="BH14" s="60">
        <f>FX_effect!BH14</f>
        <v>0</v>
      </c>
      <c r="BI14" s="60">
        <f>FX_effect!BI14</f>
        <v>-5912</v>
      </c>
      <c r="BJ14" s="60">
        <f>FX_effect!BJ14</f>
        <v>148369</v>
      </c>
      <c r="BK14" s="60">
        <f>FX_effect!BK14</f>
        <v>11558</v>
      </c>
      <c r="BL14" s="60">
        <f>FX_effect!BL14</f>
        <v>9614</v>
      </c>
      <c r="BM14" s="60">
        <f>FX_effect!BM14</f>
        <v>-3870</v>
      </c>
      <c r="BN14" s="60">
        <f>FX_effect!BN14</f>
        <v>5814</v>
      </c>
      <c r="BP14" s="54">
        <f>yield!M19</f>
        <v>-0.28333333333330502</v>
      </c>
      <c r="BQ14" s="9"/>
      <c r="BR14" s="11">
        <f t="shared" si="56"/>
        <v>-27432</v>
      </c>
      <c r="BS14" s="11">
        <f t="shared" si="57"/>
        <v>-1989</v>
      </c>
      <c r="BT14" s="11">
        <f t="shared" si="58"/>
        <v>-4442</v>
      </c>
      <c r="BU14" s="11">
        <f t="shared" si="59"/>
        <v>-11875</v>
      </c>
      <c r="BV14" s="11">
        <f t="shared" si="60"/>
        <v>-6254</v>
      </c>
      <c r="BW14" s="11">
        <f t="shared" si="61"/>
        <v>-270</v>
      </c>
      <c r="BX14" s="11">
        <f t="shared" si="62"/>
        <v>-2603</v>
      </c>
      <c r="BY14" s="11">
        <f t="shared" si="63"/>
        <v>-20172</v>
      </c>
      <c r="BZ14" s="11">
        <f t="shared" si="64"/>
        <v>186</v>
      </c>
      <c r="CA14" s="11">
        <f t="shared" si="65"/>
        <v>-15247</v>
      </c>
      <c r="CB14" s="11">
        <f t="shared" si="66"/>
        <v>-1144</v>
      </c>
      <c r="CC14" s="11">
        <f t="shared" si="67"/>
        <v>-5912</v>
      </c>
      <c r="CD14" s="11">
        <f t="shared" si="68"/>
        <v>1944</v>
      </c>
      <c r="CE14" s="21">
        <f t="shared" si="69"/>
        <v>-4.597622815239899</v>
      </c>
      <c r="CF14" s="21">
        <f t="shared" si="70"/>
        <v>-2.662562812804159</v>
      </c>
      <c r="CG14" s="21">
        <f t="shared" si="71"/>
        <v>-7.7766281739053085</v>
      </c>
      <c r="CH14" s="21">
        <f t="shared" si="72"/>
        <v>-5.1973195416825995</v>
      </c>
      <c r="CI14" s="21">
        <f t="shared" si="73"/>
        <v>-146.01327273554517</v>
      </c>
      <c r="CJ14" s="21">
        <f t="shared" si="74"/>
        <v>7.5375796865961853E-2</v>
      </c>
      <c r="CK14" s="21">
        <f t="shared" si="75"/>
        <v>-2.6380558565699541</v>
      </c>
      <c r="CL14" s="21">
        <f t="shared" si="76"/>
        <v>-6.1989934850984918</v>
      </c>
      <c r="CM14" s="21">
        <f t="shared" si="77"/>
        <v>1.3498937195554062</v>
      </c>
      <c r="CN14" s="21">
        <f t="shared" si="78"/>
        <v>-18.701324911271545</v>
      </c>
      <c r="CO14" s="21">
        <f t="shared" si="79"/>
        <v>-1.3111706481395591</v>
      </c>
      <c r="CP14" s="21">
        <f t="shared" si="80"/>
        <v>-112.28085613497467</v>
      </c>
      <c r="CQ14" s="21">
        <f t="shared" si="81"/>
        <v>1.7091141984003855</v>
      </c>
      <c r="CR14" s="21"/>
      <c r="CS14" s="21">
        <f t="shared" si="0"/>
        <v>1.6013706698585928</v>
      </c>
      <c r="CT14" s="21">
        <f t="shared" si="0"/>
        <v>-4.0124565323595647</v>
      </c>
      <c r="CU14" s="21">
        <f t="shared" si="0"/>
        <v>10.924696737366236</v>
      </c>
      <c r="CV14" s="21">
        <f t="shared" si="0"/>
        <v>-3.8861488935430404</v>
      </c>
      <c r="CW14" s="21">
        <f t="shared" si="0"/>
        <v>-33.732416600570502</v>
      </c>
      <c r="CX14" s="21">
        <f t="shared" si="0"/>
        <v>-1.6337384015344236</v>
      </c>
      <c r="CZ14" s="23">
        <f>Balance_on_income!B19</f>
        <v>18128.8</v>
      </c>
      <c r="DA14" s="23">
        <f>Balance_on_income!C19</f>
        <v>4701.1000000000004</v>
      </c>
      <c r="DB14" s="23">
        <f>Balance_on_income!D19</f>
        <v>4364</v>
      </c>
      <c r="DC14" s="23">
        <f>Balance_on_income!E19</f>
        <v>7816.6</v>
      </c>
      <c r="DD14" s="23">
        <f>Balance_on_income!F19</f>
        <v>1247.0999999999999</v>
      </c>
      <c r="DE14" s="23">
        <f>Balance_on_income!G19</f>
        <v>4084.7</v>
      </c>
      <c r="DF14" s="23">
        <f>Balance_on_income!H19</f>
        <v>879.4</v>
      </c>
      <c r="DG14" s="23">
        <f>Balance_on_income!I19</f>
        <v>1742.6</v>
      </c>
      <c r="DH14" s="23">
        <f>Balance_on_income!J19</f>
        <v>899.5</v>
      </c>
      <c r="DI14" s="23">
        <f>Balance_on_income!K19</f>
        <v>563.20000000000005</v>
      </c>
      <c r="DJ14" s="21">
        <f t="shared" si="82"/>
        <v>3.5103148493806247</v>
      </c>
      <c r="DK14" s="21">
        <f t="shared" si="83"/>
        <v>7.2488126175641598</v>
      </c>
      <c r="DL14" s="21">
        <f t="shared" si="84"/>
        <v>8.2033606555272023</v>
      </c>
      <c r="DM14" s="21">
        <f t="shared" si="85"/>
        <v>3.8922532624511952</v>
      </c>
      <c r="DN14" s="21">
        <f t="shared" si="86"/>
        <v>1.2483896237036385</v>
      </c>
      <c r="DO14" s="21">
        <f t="shared" si="87"/>
        <v>1.5969308162055995</v>
      </c>
      <c r="DP14" s="21">
        <f t="shared" si="88"/>
        <v>5.3229837413294678</v>
      </c>
      <c r="DQ14" s="21">
        <f t="shared" si="89"/>
        <v>2.4540123576434647</v>
      </c>
      <c r="DR14" s="21">
        <f t="shared" si="90"/>
        <v>1.5384919600351932</v>
      </c>
      <c r="DS14" s="21">
        <f t="shared" si="91"/>
        <v>0.69697088907711979</v>
      </c>
      <c r="DU14" s="11">
        <f t="shared" si="92"/>
        <v>-4088</v>
      </c>
      <c r="DV14" s="11">
        <f t="shared" si="93"/>
        <v>1146</v>
      </c>
      <c r="DW14" s="11">
        <f t="shared" si="94"/>
        <v>-1700</v>
      </c>
      <c r="DX14" s="11">
        <f t="shared" si="95"/>
        <v>-3090</v>
      </c>
      <c r="DY14" s="11">
        <f t="shared" si="96"/>
        <v>-6253</v>
      </c>
      <c r="DZ14" s="11">
        <f t="shared" si="97"/>
        <v>2851</v>
      </c>
      <c r="EA14" s="11">
        <f t="shared" si="98"/>
        <v>2957</v>
      </c>
      <c r="EB14" s="11">
        <f t="shared" si="99"/>
        <v>-16069</v>
      </c>
      <c r="EC14" s="11">
        <f t="shared" si="100"/>
        <v>186</v>
      </c>
      <c r="ED14" s="11">
        <f t="shared" si="101"/>
        <v>-15247</v>
      </c>
      <c r="EE14" s="11">
        <f t="shared" si="1"/>
        <v>-911</v>
      </c>
      <c r="EF14" s="11">
        <f t="shared" si="2"/>
        <v>-5912</v>
      </c>
      <c r="EG14" s="11">
        <f t="shared" si="3"/>
        <v>5814</v>
      </c>
      <c r="EH14" s="21">
        <f t="shared" si="4"/>
        <v>-0.44335649764007945</v>
      </c>
      <c r="EI14" s="21">
        <f t="shared" si="5"/>
        <v>1.981936069754342</v>
      </c>
      <c r="EJ14" s="21">
        <f t="shared" si="6"/>
        <v>-2.8008015363509275</v>
      </c>
      <c r="EK14" s="21">
        <f t="shared" si="7"/>
        <v>-1.142194661819329</v>
      </c>
      <c r="EL14" s="21">
        <f t="shared" si="8"/>
        <v>-145.98988012103806</v>
      </c>
      <c r="EM14" s="21">
        <f t="shared" si="9"/>
        <v>2.4885167589385748</v>
      </c>
      <c r="EN14" s="21">
        <f t="shared" si="10"/>
        <v>3.6037420776082296</v>
      </c>
      <c r="EO14" s="21">
        <f t="shared" si="11"/>
        <v>-4.8803195761063067</v>
      </c>
      <c r="EP14" s="21">
        <f t="shared" si="12"/>
        <v>1.3498937195554062</v>
      </c>
      <c r="EQ14" s="21">
        <f t="shared" si="13"/>
        <v>-18.701324911271545</v>
      </c>
      <c r="ER14" s="21">
        <f t="shared" si="14"/>
        <v>-0.98625193627035479</v>
      </c>
      <c r="ES14" s="21">
        <f t="shared" si="102"/>
        <v>-112.28085613497467</v>
      </c>
      <c r="ET14" s="21">
        <f t="shared" si="15"/>
        <v>4.545871590550643</v>
      </c>
      <c r="EV14" s="23">
        <f t="shared" si="16"/>
        <v>-9303.2000000000007</v>
      </c>
      <c r="EW14" s="23">
        <f t="shared" si="17"/>
        <v>2712.1000000000004</v>
      </c>
      <c r="EX14" s="23">
        <f t="shared" si="17"/>
        <v>-78</v>
      </c>
      <c r="EY14" s="23">
        <f t="shared" si="17"/>
        <v>-4058.3999999999996</v>
      </c>
      <c r="EZ14" s="23">
        <f t="shared" si="18"/>
        <v>977.09999999999991</v>
      </c>
      <c r="FA14" s="23">
        <f t="shared" si="19"/>
        <v>-2603</v>
      </c>
      <c r="FB14" s="23">
        <f t="shared" si="20"/>
        <v>-16087.3</v>
      </c>
      <c r="FC14" s="23">
        <f t="shared" si="21"/>
        <v>1065.4000000000001</v>
      </c>
      <c r="FD14" s="23">
        <f t="shared" si="21"/>
        <v>-13504.4</v>
      </c>
      <c r="FE14" s="23">
        <f t="shared" si="21"/>
        <v>-244.5</v>
      </c>
      <c r="FF14" s="23">
        <f t="shared" si="22"/>
        <v>2507.1999999999998</v>
      </c>
      <c r="FG14" s="21">
        <f t="shared" si="23"/>
        <v>-1.3714463579702074</v>
      </c>
      <c r="FH14" s="21">
        <f t="shared" si="24"/>
        <v>4.3021114126490456</v>
      </c>
      <c r="FI14" s="21">
        <f t="shared" si="25"/>
        <v>0.14259408951093899</v>
      </c>
      <c r="FJ14" s="21">
        <f t="shared" si="26"/>
        <v>-1.5892046713423369</v>
      </c>
      <c r="FK14" s="21">
        <f t="shared" si="27"/>
        <v>1.039627028458634</v>
      </c>
      <c r="FL14" s="21">
        <f t="shared" si="28"/>
        <v>-2.6380558565699541</v>
      </c>
      <c r="FM14" s="21">
        <f t="shared" si="29"/>
        <v>-4.8862010610038364</v>
      </c>
      <c r="FN14" s="21">
        <f t="shared" si="30"/>
        <v>6.3887390687738854</v>
      </c>
      <c r="FO14" s="21">
        <f t="shared" si="31"/>
        <v>-16.531450945739014</v>
      </c>
      <c r="FP14" s="21">
        <f t="shared" si="32"/>
        <v>-5.681708021532117E-2</v>
      </c>
      <c r="FQ14" s="21">
        <f t="shared" si="33"/>
        <v>2.1219466953665389</v>
      </c>
      <c r="FS14" s="21">
        <f t="shared" si="103"/>
        <v>3.514754703033629</v>
      </c>
      <c r="FT14" s="21">
        <f t="shared" si="103"/>
        <v>-2.0866276561248398</v>
      </c>
      <c r="FU14" s="21">
        <f t="shared" si="103"/>
        <v>16.674045035249954</v>
      </c>
      <c r="FV14" s="21">
        <f t="shared" si="103"/>
        <v>-1.5323875911270157</v>
      </c>
      <c r="FW14" s="21">
        <f t="shared" si="103"/>
        <v>-1.0823196669079049</v>
      </c>
      <c r="FY14" s="23">
        <f t="shared" si="34"/>
        <v>14040.8</v>
      </c>
      <c r="FZ14" s="23">
        <f t="shared" si="35"/>
        <v>5847.1</v>
      </c>
      <c r="GA14" s="23">
        <f t="shared" si="35"/>
        <v>2664</v>
      </c>
      <c r="GB14" s="23">
        <f t="shared" si="35"/>
        <v>4726.6000000000004</v>
      </c>
      <c r="GC14" s="23">
        <f t="shared" si="36"/>
        <v>4098.1000000000004</v>
      </c>
      <c r="GD14" s="23">
        <f t="shared" si="37"/>
        <v>2957</v>
      </c>
      <c r="GE14" s="23">
        <f t="shared" si="38"/>
        <v>-11984.3</v>
      </c>
      <c r="GF14" s="23">
        <f t="shared" si="39"/>
        <v>1065.4000000000001</v>
      </c>
      <c r="GG14" s="23">
        <f t="shared" si="39"/>
        <v>-13504.4</v>
      </c>
      <c r="GH14" s="23">
        <f t="shared" si="39"/>
        <v>-11.5</v>
      </c>
      <c r="GI14" s="23">
        <f t="shared" si="40"/>
        <v>6377.2</v>
      </c>
      <c r="GJ14" s="21">
        <f t="shared" si="41"/>
        <v>2.7828199596296121</v>
      </c>
      <c r="GK14" s="21">
        <f t="shared" si="42"/>
        <v>8.9466102952075577</v>
      </c>
      <c r="GL14" s="21">
        <f t="shared" si="43"/>
        <v>5.1184207270653204</v>
      </c>
      <c r="GM14" s="21">
        <f t="shared" si="44"/>
        <v>2.4659202085209442</v>
      </c>
      <c r="GN14" s="21">
        <f t="shared" si="45"/>
        <v>3.4527679905312469</v>
      </c>
      <c r="GO14" s="21">
        <f t="shared" si="46"/>
        <v>3.6037420776082296</v>
      </c>
      <c r="GP14" s="21">
        <f t="shared" si="47"/>
        <v>-3.5675271520116514</v>
      </c>
      <c r="GQ14" s="21">
        <f t="shared" si="48"/>
        <v>6.3887390687738854</v>
      </c>
      <c r="GR14" s="21">
        <f t="shared" si="49"/>
        <v>-16.531450945739014</v>
      </c>
      <c r="GS14" s="21">
        <f t="shared" si="50"/>
        <v>0.26810163165389422</v>
      </c>
      <c r="GT14" s="21">
        <f t="shared" si="51"/>
        <v>4.9587040875167965</v>
      </c>
      <c r="GV14" s="21">
        <f t="shared" si="104"/>
        <v>6.3503471116412635</v>
      </c>
      <c r="GW14" s="21">
        <f t="shared" si="104"/>
        <v>2.5578712264336723</v>
      </c>
      <c r="GX14" s="21">
        <f t="shared" si="104"/>
        <v>21.649871672804334</v>
      </c>
      <c r="GY14" s="21">
        <f t="shared" si="104"/>
        <v>2.19781857686705</v>
      </c>
      <c r="GZ14" s="21">
        <f t="shared" si="104"/>
        <v>-1.5059360969855495</v>
      </c>
      <c r="HC14" s="44">
        <f t="shared" si="52"/>
        <v>2.5495702659947488E-2</v>
      </c>
      <c r="HD14" s="44">
        <f t="shared" si="53"/>
        <v>1.250799566148455E-2</v>
      </c>
      <c r="HE14" s="8"/>
      <c r="HF14" s="44">
        <f t="shared" si="54"/>
        <v>2.8409529660652133</v>
      </c>
      <c r="HG14" s="44">
        <f t="shared" si="55"/>
        <v>1.5384919600351932</v>
      </c>
      <c r="HH14" s="44">
        <f t="shared" si="105"/>
        <v>1.3024610060300201</v>
      </c>
    </row>
    <row r="15" spans="1:216" s="11" customFormat="1" ht="15">
      <c r="A15" s="11">
        <v>2012</v>
      </c>
      <c r="B15" s="59">
        <f>FX_effect!B15</f>
        <v>661902</v>
      </c>
      <c r="C15" s="59">
        <f>FX_effect!C15</f>
        <v>80393</v>
      </c>
      <c r="D15" s="59">
        <f>FX_effect!D15</f>
        <v>31396</v>
      </c>
      <c r="E15" s="59">
        <f>FX_effect!E15</f>
        <v>49901</v>
      </c>
      <c r="F15" s="59">
        <f>FX_effect!F15</f>
        <v>-904</v>
      </c>
      <c r="G15" s="59">
        <f>FX_effect!G15</f>
        <v>89813</v>
      </c>
      <c r="H15" s="59">
        <f>FX_effect!H15</f>
        <v>15524</v>
      </c>
      <c r="I15" s="59">
        <f>FX_effect!I15</f>
        <v>9778</v>
      </c>
      <c r="J15" s="59">
        <f>FX_effect!J15</f>
        <v>6812</v>
      </c>
      <c r="K15" s="59">
        <f>FX_effect!K15</f>
        <v>-1066</v>
      </c>
      <c r="L15" s="59">
        <f>FX_effect!L15</f>
        <v>59475</v>
      </c>
      <c r="M15" s="59">
        <f>FX_effect!M15</f>
        <v>7725</v>
      </c>
      <c r="N15" s="59">
        <f>FX_effect!N15</f>
        <v>-2135</v>
      </c>
      <c r="O15" s="59">
        <f>FX_effect!O15</f>
        <v>5893</v>
      </c>
      <c r="P15" s="59">
        <f>FX_effect!P15</f>
        <v>3967</v>
      </c>
      <c r="Q15" s="59">
        <f>FX_effect!Q15</f>
        <v>245637</v>
      </c>
      <c r="R15" s="59">
        <f>FX_effect!R15</f>
        <v>35063</v>
      </c>
      <c r="S15" s="59">
        <f>FX_effect!S15</f>
        <v>16832</v>
      </c>
      <c r="T15" s="59">
        <f>FX_effect!T15</f>
        <v>18396</v>
      </c>
      <c r="U15" s="59">
        <f>FX_effect!U15</f>
        <v>-165</v>
      </c>
      <c r="V15" s="59">
        <f>FX_effect!V15</f>
        <v>4623</v>
      </c>
      <c r="W15" s="59">
        <f>FX_effect!W15</f>
        <v>435</v>
      </c>
      <c r="X15" s="59">
        <f>FX_effect!X15</f>
        <v>5239</v>
      </c>
      <c r="Y15" s="59">
        <f>FX_effect!Y15</f>
        <v>1</v>
      </c>
      <c r="Z15" s="59">
        <f>FX_effect!Z15</f>
        <v>-4805</v>
      </c>
      <c r="AA15" s="60">
        <f>FX_effect!AA15</f>
        <v>152891</v>
      </c>
      <c r="AB15" s="60">
        <f>FX_effect!AB15</f>
        <v>12699</v>
      </c>
      <c r="AC15" s="60">
        <f>FX_effect!AC15</f>
        <v>4733</v>
      </c>
      <c r="AD15" s="60">
        <f>FX_effect!AD15</f>
        <v>7421</v>
      </c>
      <c r="AE15" s="60">
        <f>FX_effect!AE15</f>
        <v>545</v>
      </c>
      <c r="AF15" s="60">
        <f>FX_effect!AF15</f>
        <v>109464</v>
      </c>
      <c r="AG15" s="60">
        <f>FX_effect!AG15</f>
        <v>8947</v>
      </c>
      <c r="AH15" s="60">
        <f>FX_effect!AH15</f>
        <v>-3052</v>
      </c>
      <c r="AI15" s="60">
        <f>FX_effect!AI15</f>
        <v>11378</v>
      </c>
      <c r="AJ15" s="60">
        <f>FX_effect!AJ15</f>
        <v>620</v>
      </c>
      <c r="AK15" s="60">
        <f>FX_effect!AK15</f>
        <v>365588</v>
      </c>
      <c r="AL15" s="60">
        <f>FX_effect!AL15</f>
        <v>49505</v>
      </c>
      <c r="AM15" s="60">
        <f>FX_effect!AM15</f>
        <v>26847</v>
      </c>
      <c r="AN15" s="60">
        <f>FX_effect!AN15</f>
        <v>11225</v>
      </c>
      <c r="AO15" s="60">
        <f>FX_effect!AO15</f>
        <v>11432</v>
      </c>
      <c r="AP15" s="60">
        <f>FX_effect!AP15</f>
        <v>17808</v>
      </c>
      <c r="AQ15" s="60">
        <f>FX_effect!AQ15</f>
        <v>260</v>
      </c>
      <c r="AR15" s="60">
        <f>FX_effect!AR15</f>
        <v>138</v>
      </c>
      <c r="AS15" s="60">
        <f>FX_effect!AS15</f>
        <v>0</v>
      </c>
      <c r="AT15" s="60">
        <f>FX_effect!AT15</f>
        <v>122</v>
      </c>
      <c r="AU15" s="60">
        <f>FX_effect!AU15</f>
        <v>83556</v>
      </c>
      <c r="AV15" s="60">
        <f>FX_effect!AV15</f>
        <v>17714</v>
      </c>
      <c r="AW15" s="60">
        <f>FX_effect!AW15</f>
        <v>2351</v>
      </c>
      <c r="AX15" s="60">
        <f>FX_effect!AX15</f>
        <v>0</v>
      </c>
      <c r="AY15" s="60">
        <f>FX_effect!AY15</f>
        <v>15363</v>
      </c>
      <c r="AZ15" s="60">
        <f>FX_effect!AZ15</f>
        <v>96948</v>
      </c>
      <c r="BA15" s="60">
        <f>FX_effect!BA15</f>
        <v>5309</v>
      </c>
      <c r="BB15" s="60">
        <f>FX_effect!BB15</f>
        <v>6230</v>
      </c>
      <c r="BC15" s="60">
        <f>FX_effect!BC15</f>
        <v>573</v>
      </c>
      <c r="BD15" s="60">
        <f>FX_effect!BD15</f>
        <v>-1493</v>
      </c>
      <c r="BE15" s="60">
        <f>FX_effect!BE15</f>
        <v>5326</v>
      </c>
      <c r="BF15" s="60">
        <f>FX_effect!BF15</f>
        <v>-315</v>
      </c>
      <c r="BG15" s="60">
        <f>FX_effect!BG15</f>
        <v>5145</v>
      </c>
      <c r="BH15" s="60">
        <f>FX_effect!BH15</f>
        <v>0</v>
      </c>
      <c r="BI15" s="60">
        <f>FX_effect!BI15</f>
        <v>-5460</v>
      </c>
      <c r="BJ15" s="60">
        <f>FX_effect!BJ15</f>
        <v>161950</v>
      </c>
      <c r="BK15" s="60">
        <f>FX_effect!BK15</f>
        <v>26536</v>
      </c>
      <c r="BL15" s="60">
        <f>FX_effect!BL15</f>
        <v>12984</v>
      </c>
      <c r="BM15" s="60">
        <f>FX_effect!BM15</f>
        <v>10652</v>
      </c>
      <c r="BN15" s="60">
        <f>FX_effect!BN15</f>
        <v>2900</v>
      </c>
      <c r="BP15" s="54">
        <f>yield!M20</f>
        <v>-3.3428046130775199E-2</v>
      </c>
      <c r="BQ15" s="9"/>
      <c r="BR15" s="11">
        <f t="shared" si="56"/>
        <v>48997</v>
      </c>
      <c r="BS15" s="11">
        <f t="shared" si="57"/>
        <v>5746</v>
      </c>
      <c r="BT15" s="11">
        <f t="shared" si="58"/>
        <v>9860</v>
      </c>
      <c r="BU15" s="11">
        <f t="shared" si="59"/>
        <v>18231</v>
      </c>
      <c r="BV15" s="11">
        <f t="shared" si="60"/>
        <v>-4804</v>
      </c>
      <c r="BW15" s="11">
        <f t="shared" si="61"/>
        <v>7966</v>
      </c>
      <c r="BX15" s="11">
        <f t="shared" si="62"/>
        <v>11999</v>
      </c>
      <c r="BY15" s="11">
        <f t="shared" si="63"/>
        <v>22658</v>
      </c>
      <c r="BZ15" s="11">
        <f t="shared" si="64"/>
        <v>122</v>
      </c>
      <c r="CA15" s="11">
        <f t="shared" si="65"/>
        <v>15363</v>
      </c>
      <c r="CB15" s="11">
        <f t="shared" si="66"/>
        <v>-921</v>
      </c>
      <c r="CC15" s="11">
        <f t="shared" si="67"/>
        <v>-5460</v>
      </c>
      <c r="CD15" s="11">
        <f t="shared" si="68"/>
        <v>13552</v>
      </c>
      <c r="CE15" s="21">
        <f t="shared" si="69"/>
        <v>8.4620936761078411</v>
      </c>
      <c r="CF15" s="21">
        <f t="shared" si="70"/>
        <v>7.7706835239356176</v>
      </c>
      <c r="CG15" s="21">
        <f t="shared" si="71"/>
        <v>19.09295054306439</v>
      </c>
      <c r="CH15" s="21">
        <f t="shared" si="72"/>
        <v>8.6940983297813865</v>
      </c>
      <c r="CI15" s="21">
        <f t="shared" si="73"/>
        <v>-114.71360997185134</v>
      </c>
      <c r="CJ15" s="21">
        <f t="shared" si="74"/>
        <v>5.7175465688521054</v>
      </c>
      <c r="CK15" s="21">
        <f t="shared" si="75"/>
        <v>11.974715199928564</v>
      </c>
      <c r="CL15" s="21">
        <f t="shared" si="76"/>
        <v>7.2042066047466768</v>
      </c>
      <c r="CM15" s="21">
        <f t="shared" si="77"/>
        <v>0.7289076300314612</v>
      </c>
      <c r="CN15" s="21">
        <f t="shared" si="78"/>
        <v>23.374372470489636</v>
      </c>
      <c r="CO15" s="21">
        <f t="shared" si="79"/>
        <v>-0.97192745946714787</v>
      </c>
      <c r="CP15" s="21">
        <f t="shared" si="80"/>
        <v>-96.79027610360184</v>
      </c>
      <c r="CQ15" s="21">
        <f t="shared" si="81"/>
        <v>10.044613610658271</v>
      </c>
      <c r="CR15" s="21"/>
      <c r="CS15" s="21">
        <f t="shared" si="0"/>
        <v>1.2578870713611643</v>
      </c>
      <c r="CT15" s="21">
        <f t="shared" si="0"/>
        <v>7.0417758939041564</v>
      </c>
      <c r="CU15" s="21">
        <f t="shared" si="0"/>
        <v>-4.2814219274252459</v>
      </c>
      <c r="CV15" s="21">
        <f t="shared" si="0"/>
        <v>9.6660257892485344</v>
      </c>
      <c r="CW15" s="21">
        <f t="shared" si="0"/>
        <v>-17.9233338682495</v>
      </c>
      <c r="CX15" s="21">
        <f t="shared" si="0"/>
        <v>-4.3270670418061652</v>
      </c>
      <c r="CZ15" s="23">
        <f>Balance_on_income!B20</f>
        <v>18750.899999999998</v>
      </c>
      <c r="DA15" s="23">
        <f>Balance_on_income!C20</f>
        <v>5433.5</v>
      </c>
      <c r="DB15" s="23">
        <f>Balance_on_income!D20</f>
        <v>4613.1000000000004</v>
      </c>
      <c r="DC15" s="23">
        <f>Balance_on_income!E20</f>
        <v>7501.2</v>
      </c>
      <c r="DD15" s="23">
        <f>Balance_on_income!F20</f>
        <v>1203.0999999999999</v>
      </c>
      <c r="DE15" s="23">
        <f>Balance_on_income!G20</f>
        <v>4473.1000000000004</v>
      </c>
      <c r="DF15" s="23">
        <f>Balance_on_income!H20</f>
        <v>1219.5</v>
      </c>
      <c r="DG15" s="23">
        <f>Balance_on_income!I20</f>
        <v>1783.3</v>
      </c>
      <c r="DH15" s="23">
        <f>Balance_on_income!J20</f>
        <v>934.7</v>
      </c>
      <c r="DI15" s="23">
        <f>Balance_on_income!K20</f>
        <v>535.6</v>
      </c>
      <c r="DJ15" s="21">
        <f t="shared" si="82"/>
        <v>3.2590419501338896</v>
      </c>
      <c r="DK15" s="21">
        <f t="shared" si="83"/>
        <v>7.34988838929167</v>
      </c>
      <c r="DL15" s="21">
        <f t="shared" si="84"/>
        <v>8.9506229630545775</v>
      </c>
      <c r="DM15" s="21">
        <f t="shared" si="85"/>
        <v>3.596893564768</v>
      </c>
      <c r="DN15" s="21">
        <f t="shared" si="86"/>
        <v>0.89190640301235469</v>
      </c>
      <c r="DO15" s="21">
        <f t="shared" si="87"/>
        <v>1.4490787144509687</v>
      </c>
      <c r="DP15" s="21">
        <f t="shared" si="88"/>
        <v>6.9852730020721676</v>
      </c>
      <c r="DQ15" s="21">
        <f t="shared" si="89"/>
        <v>2.7427984807413708</v>
      </c>
      <c r="DR15" s="21">
        <f t="shared" si="90"/>
        <v>1.0537608737574145</v>
      </c>
      <c r="DS15" s="21">
        <f t="shared" si="91"/>
        <v>0.42909927448913088</v>
      </c>
      <c r="DU15" s="11">
        <f t="shared" si="92"/>
        <v>-904</v>
      </c>
      <c r="DV15" s="11">
        <f t="shared" si="93"/>
        <v>-1066</v>
      </c>
      <c r="DW15" s="11">
        <f t="shared" si="94"/>
        <v>3967</v>
      </c>
      <c r="DX15" s="11">
        <f t="shared" si="95"/>
        <v>-165</v>
      </c>
      <c r="DY15" s="11">
        <f t="shared" si="96"/>
        <v>-4805</v>
      </c>
      <c r="DZ15" s="11">
        <f t="shared" si="97"/>
        <v>545</v>
      </c>
      <c r="EA15" s="11">
        <f t="shared" si="98"/>
        <v>621</v>
      </c>
      <c r="EB15" s="11">
        <f t="shared" si="99"/>
        <v>11433</v>
      </c>
      <c r="EC15" s="11">
        <f t="shared" si="100"/>
        <v>122</v>
      </c>
      <c r="ED15" s="11">
        <f t="shared" si="101"/>
        <v>15363</v>
      </c>
      <c r="EE15" s="11">
        <f t="shared" si="1"/>
        <v>-1494</v>
      </c>
      <c r="EF15" s="11">
        <f t="shared" si="2"/>
        <v>-5460</v>
      </c>
      <c r="EG15" s="11">
        <f t="shared" si="3"/>
        <v>2900</v>
      </c>
      <c r="EH15" s="21">
        <f t="shared" si="4"/>
        <v>-0.12207037075523397</v>
      </c>
      <c r="EI15" s="21">
        <f t="shared" si="5"/>
        <v>-1.4019771390874292</v>
      </c>
      <c r="EJ15" s="21">
        <f t="shared" si="6"/>
        <v>7.7017030580736723</v>
      </c>
      <c r="EK15" s="21">
        <f t="shared" si="7"/>
        <v>-4.4944229929544388E-2</v>
      </c>
      <c r="EL15" s="21">
        <f t="shared" si="8"/>
        <v>-114.73749570232512</v>
      </c>
      <c r="EM15" s="21">
        <f t="shared" si="9"/>
        <v>0.42232178795975628</v>
      </c>
      <c r="EN15" s="21">
        <f t="shared" si="10"/>
        <v>0.65145175699790059</v>
      </c>
      <c r="EO15" s="21">
        <f t="shared" si="11"/>
        <v>3.6517366671297902</v>
      </c>
      <c r="EP15" s="21">
        <f t="shared" si="12"/>
        <v>0.7289076300314612</v>
      </c>
      <c r="EQ15" s="21">
        <f t="shared" si="13"/>
        <v>23.374372470489636</v>
      </c>
      <c r="ER15" s="21">
        <f t="shared" si="14"/>
        <v>-1.5974161779764406</v>
      </c>
      <c r="ES15" s="21">
        <f t="shared" si="102"/>
        <v>-96.79027610360184</v>
      </c>
      <c r="ET15" s="21">
        <f t="shared" si="15"/>
        <v>2.1757359863632475</v>
      </c>
      <c r="EV15" s="23">
        <f t="shared" si="16"/>
        <v>67747.899999999994</v>
      </c>
      <c r="EW15" s="23">
        <f t="shared" si="17"/>
        <v>11179.5</v>
      </c>
      <c r="EX15" s="23">
        <f t="shared" si="17"/>
        <v>14473.1</v>
      </c>
      <c r="EY15" s="23">
        <f t="shared" si="17"/>
        <v>25732.2</v>
      </c>
      <c r="EZ15" s="23">
        <f t="shared" si="18"/>
        <v>9169.1</v>
      </c>
      <c r="FA15" s="23">
        <f t="shared" si="19"/>
        <v>11999</v>
      </c>
      <c r="FB15" s="23">
        <f t="shared" si="20"/>
        <v>27131.1</v>
      </c>
      <c r="FC15" s="23">
        <f t="shared" si="21"/>
        <v>1341.5</v>
      </c>
      <c r="FD15" s="23">
        <f t="shared" si="21"/>
        <v>17146.3</v>
      </c>
      <c r="FE15" s="23">
        <f t="shared" si="21"/>
        <v>13.700000000000045</v>
      </c>
      <c r="FF15" s="23">
        <f t="shared" si="22"/>
        <v>14087.6</v>
      </c>
      <c r="FG15" s="21">
        <f t="shared" si="23"/>
        <v>11.687696402031666</v>
      </c>
      <c r="FH15" s="21">
        <f t="shared" si="24"/>
        <v>15.087132689017203</v>
      </c>
      <c r="FI15" s="21">
        <f t="shared" si="25"/>
        <v>28.010134281908904</v>
      </c>
      <c r="FJ15" s="21">
        <f t="shared" si="26"/>
        <v>12.257552670339301</v>
      </c>
      <c r="FK15" s="21">
        <f t="shared" si="27"/>
        <v>6.5760137476543745</v>
      </c>
      <c r="FL15" s="21">
        <f t="shared" si="28"/>
        <v>11.974715199928564</v>
      </c>
      <c r="FM15" s="21">
        <f t="shared" si="29"/>
        <v>8.619846094987583</v>
      </c>
      <c r="FN15" s="21">
        <f t="shared" si="30"/>
        <v>7.6807414078935654</v>
      </c>
      <c r="FO15" s="21">
        <f t="shared" si="31"/>
        <v>26.083731727020943</v>
      </c>
      <c r="FP15" s="21">
        <f t="shared" si="32"/>
        <v>4.8394190080180977E-2</v>
      </c>
      <c r="FQ15" s="21">
        <f t="shared" si="33"/>
        <v>10.440273660937294</v>
      </c>
      <c r="FS15" s="21">
        <f t="shared" si="103"/>
        <v>3.0678503070440826</v>
      </c>
      <c r="FT15" s="21">
        <f t="shared" si="103"/>
        <v>7.4063912811236374</v>
      </c>
      <c r="FU15" s="21">
        <f t="shared" si="103"/>
        <v>1.9264025548879609</v>
      </c>
      <c r="FV15" s="21">
        <f t="shared" si="103"/>
        <v>12.20915848025912</v>
      </c>
      <c r="FW15" s="21">
        <f t="shared" si="103"/>
        <v>-3.8642599132829192</v>
      </c>
      <c r="FY15" s="23">
        <f t="shared" si="34"/>
        <v>17846.899999999998</v>
      </c>
      <c r="FZ15" s="23">
        <f t="shared" si="35"/>
        <v>4367.5</v>
      </c>
      <c r="GA15" s="23">
        <f t="shared" si="35"/>
        <v>8580.1</v>
      </c>
      <c r="GB15" s="23">
        <f t="shared" si="35"/>
        <v>7336.2</v>
      </c>
      <c r="GC15" s="23">
        <f t="shared" si="36"/>
        <v>1748.1</v>
      </c>
      <c r="GD15" s="23">
        <f t="shared" si="37"/>
        <v>621</v>
      </c>
      <c r="GE15" s="23">
        <f t="shared" si="38"/>
        <v>15906.1</v>
      </c>
      <c r="GF15" s="23">
        <f t="shared" si="39"/>
        <v>1341.5</v>
      </c>
      <c r="GG15" s="23">
        <f t="shared" si="39"/>
        <v>17146.3</v>
      </c>
      <c r="GH15" s="23">
        <f t="shared" si="39"/>
        <v>-559.29999999999995</v>
      </c>
      <c r="GI15" s="23">
        <f t="shared" si="40"/>
        <v>3435.6</v>
      </c>
      <c r="GJ15" s="21">
        <f t="shared" si="41"/>
        <v>3.1035323551685812</v>
      </c>
      <c r="GK15" s="21">
        <f t="shared" si="42"/>
        <v>5.9144720259941552</v>
      </c>
      <c r="GL15" s="21">
        <f t="shared" si="43"/>
        <v>16.618886796918186</v>
      </c>
      <c r="GM15" s="21">
        <f t="shared" si="44"/>
        <v>3.5185101106283811</v>
      </c>
      <c r="GN15" s="21">
        <f t="shared" si="45"/>
        <v>1.2807889667620254</v>
      </c>
      <c r="GO15" s="21">
        <f t="shared" si="46"/>
        <v>0.65145175699790059</v>
      </c>
      <c r="GP15" s="21">
        <f t="shared" si="47"/>
        <v>5.0673761573706955</v>
      </c>
      <c r="GQ15" s="21">
        <f t="shared" si="48"/>
        <v>7.6807414078935654</v>
      </c>
      <c r="GR15" s="21">
        <f t="shared" si="49"/>
        <v>26.083731727020943</v>
      </c>
      <c r="GS15" s="21">
        <f t="shared" si="50"/>
        <v>-0.57709452842908959</v>
      </c>
      <c r="GT15" s="21">
        <f t="shared" si="51"/>
        <v>2.5713960366422928</v>
      </c>
      <c r="GV15" s="21">
        <f t="shared" si="104"/>
        <v>-1.9638438022021143</v>
      </c>
      <c r="GW15" s="21">
        <f t="shared" si="104"/>
        <v>-1.7662693818994102</v>
      </c>
      <c r="GX15" s="21">
        <f t="shared" si="104"/>
        <v>-9.4648449301027568</v>
      </c>
      <c r="GY15" s="21">
        <f t="shared" si="104"/>
        <v>4.0956046390574707</v>
      </c>
      <c r="GZ15" s="21">
        <f t="shared" si="104"/>
        <v>-1.2906070698802674</v>
      </c>
      <c r="HC15" s="44">
        <f t="shared" si="52"/>
        <v>2.4112558704687696E-2</v>
      </c>
      <c r="HD15" s="44">
        <f t="shared" si="53"/>
        <v>1.0199805759556521E-2</v>
      </c>
      <c r="HE15" s="8"/>
      <c r="HF15" s="44">
        <f t="shared" si="54"/>
        <v>2.4455013999356456</v>
      </c>
      <c r="HG15" s="44">
        <f t="shared" si="55"/>
        <v>1.0537608737574145</v>
      </c>
      <c r="HH15" s="44">
        <f t="shared" si="105"/>
        <v>1.3917405261782312</v>
      </c>
    </row>
    <row r="16" spans="1:216" s="11" customFormat="1" ht="15">
      <c r="A16" s="11">
        <v>2013</v>
      </c>
      <c r="B16" s="59">
        <f>FX_effect!B16</f>
        <v>797077</v>
      </c>
      <c r="C16" s="59">
        <f>FX_effect!C16</f>
        <v>135174</v>
      </c>
      <c r="D16" s="59">
        <f>FX_effect!D16</f>
        <v>38908</v>
      </c>
      <c r="E16" s="59">
        <f>FX_effect!E16</f>
        <v>105267</v>
      </c>
      <c r="F16" s="59">
        <f>FX_effect!F16</f>
        <v>-9001</v>
      </c>
      <c r="G16" s="59">
        <f>FX_effect!G16</f>
        <v>117726</v>
      </c>
      <c r="H16" s="59">
        <f>FX_effect!H16</f>
        <v>27914</v>
      </c>
      <c r="I16" s="59">
        <f>FX_effect!I16</f>
        <v>13248</v>
      </c>
      <c r="J16" s="59">
        <f>FX_effect!J16</f>
        <v>14580</v>
      </c>
      <c r="K16" s="59">
        <f>FX_effect!K16</f>
        <v>86</v>
      </c>
      <c r="L16" s="59">
        <f>FX_effect!L16</f>
        <v>74760</v>
      </c>
      <c r="M16" s="59">
        <f>FX_effect!M16</f>
        <v>15286</v>
      </c>
      <c r="N16" s="59">
        <f>FX_effect!N16</f>
        <v>-6616</v>
      </c>
      <c r="O16" s="59">
        <f>FX_effect!O16</f>
        <v>12158</v>
      </c>
      <c r="P16" s="59">
        <f>FX_effect!P16</f>
        <v>9744</v>
      </c>
      <c r="Q16" s="59">
        <f>FX_effect!Q16</f>
        <v>284455</v>
      </c>
      <c r="R16" s="59">
        <f>FX_effect!R16</f>
        <v>38818</v>
      </c>
      <c r="S16" s="59">
        <f>FX_effect!S16</f>
        <v>547</v>
      </c>
      <c r="T16" s="59">
        <f>FX_effect!T16</f>
        <v>36412</v>
      </c>
      <c r="U16" s="59">
        <f>FX_effect!U16</f>
        <v>1858</v>
      </c>
      <c r="V16" s="59">
        <f>FX_effect!V16</f>
        <v>8207</v>
      </c>
      <c r="W16" s="59">
        <f>FX_effect!W16</f>
        <v>3584</v>
      </c>
      <c r="X16" s="59">
        <f>FX_effect!X16</f>
        <v>11918</v>
      </c>
      <c r="Y16" s="59">
        <f>FX_effect!Y16</f>
        <v>5</v>
      </c>
      <c r="Z16" s="59">
        <f>FX_effect!Z16</f>
        <v>-8339</v>
      </c>
      <c r="AA16" s="60">
        <f>FX_effect!AA16</f>
        <v>178398</v>
      </c>
      <c r="AB16" s="60">
        <f>FX_effect!AB16</f>
        <v>25507</v>
      </c>
      <c r="AC16" s="60">
        <f>FX_effect!AC16</f>
        <v>15959</v>
      </c>
      <c r="AD16" s="60">
        <f>FX_effect!AD16</f>
        <v>17269</v>
      </c>
      <c r="AE16" s="60">
        <f>FX_effect!AE16</f>
        <v>-7721</v>
      </c>
      <c r="AF16" s="60">
        <f>FX_effect!AF16</f>
        <v>133529</v>
      </c>
      <c r="AG16" s="60">
        <f>FX_effect!AG16</f>
        <v>24066</v>
      </c>
      <c r="AH16" s="60">
        <f>FX_effect!AH16</f>
        <v>3850</v>
      </c>
      <c r="AI16" s="60">
        <f>FX_effect!AI16</f>
        <v>24844</v>
      </c>
      <c r="AJ16" s="60">
        <f>FX_effect!AJ16</f>
        <v>-4629</v>
      </c>
      <c r="AK16" s="60">
        <f>FX_effect!AK16</f>
        <v>472070</v>
      </c>
      <c r="AL16" s="60">
        <f>FX_effect!AL16</f>
        <v>106482</v>
      </c>
      <c r="AM16" s="60">
        <f>FX_effect!AM16</f>
        <v>45612</v>
      </c>
      <c r="AN16" s="60">
        <f>FX_effect!AN16</f>
        <v>24797</v>
      </c>
      <c r="AO16" s="60">
        <f>FX_effect!AO16</f>
        <v>36074</v>
      </c>
      <c r="AP16" s="60">
        <f>FX_effect!AP16</f>
        <v>17976</v>
      </c>
      <c r="AQ16" s="60">
        <f>FX_effect!AQ16</f>
        <v>168</v>
      </c>
      <c r="AR16" s="60">
        <f>FX_effect!AR16</f>
        <v>225</v>
      </c>
      <c r="AS16" s="60">
        <f>FX_effect!AS16</f>
        <v>0</v>
      </c>
      <c r="AT16" s="60">
        <f>FX_effect!AT16</f>
        <v>-57</v>
      </c>
      <c r="AU16" s="60">
        <f>FX_effect!AU16</f>
        <v>150947</v>
      </c>
      <c r="AV16" s="60">
        <f>FX_effect!AV16</f>
        <v>67391</v>
      </c>
      <c r="AW16" s="60">
        <f>FX_effect!AW16</f>
        <v>17035</v>
      </c>
      <c r="AX16" s="60">
        <f>FX_effect!AX16</f>
        <v>0</v>
      </c>
      <c r="AY16" s="60">
        <f>FX_effect!AY16</f>
        <v>50356</v>
      </c>
      <c r="AZ16" s="60">
        <f>FX_effect!AZ16</f>
        <v>100914</v>
      </c>
      <c r="BA16" s="60">
        <f>FX_effect!BA16</f>
        <v>3966</v>
      </c>
      <c r="BB16" s="60">
        <f>FX_effect!BB16</f>
        <v>829</v>
      </c>
      <c r="BC16" s="60">
        <f>FX_effect!BC16</f>
        <v>1548</v>
      </c>
      <c r="BD16" s="60">
        <f>FX_effect!BD16</f>
        <v>1589</v>
      </c>
      <c r="BE16" s="60">
        <f>FX_effect!BE16</f>
        <v>8656</v>
      </c>
      <c r="BF16" s="60">
        <f>FX_effect!BF16</f>
        <v>3330</v>
      </c>
      <c r="BG16" s="60">
        <f>FX_effect!BG16</f>
        <v>11441</v>
      </c>
      <c r="BH16" s="60">
        <f>FX_effect!BH16</f>
        <v>0</v>
      </c>
      <c r="BI16" s="60">
        <f>FX_effect!BI16</f>
        <v>-8110</v>
      </c>
      <c r="BJ16" s="60">
        <f>FX_effect!BJ16</f>
        <v>193576</v>
      </c>
      <c r="BK16" s="60">
        <f>FX_effect!BK16</f>
        <v>31627</v>
      </c>
      <c r="BL16" s="60">
        <f>FX_effect!BL16</f>
        <v>16083</v>
      </c>
      <c r="BM16" s="60">
        <f>FX_effect!BM16</f>
        <v>23249</v>
      </c>
      <c r="BN16" s="60">
        <f>FX_effect!BN16</f>
        <v>-7704</v>
      </c>
      <c r="BP16" s="54">
        <f>yield!M21</f>
        <v>0.35947166025784699</v>
      </c>
      <c r="BQ16" s="9"/>
      <c r="BR16" s="11">
        <f t="shared" ref="BR16" si="106">C16-D16</f>
        <v>96266</v>
      </c>
      <c r="BS16" s="11">
        <f t="shared" ref="BS16" si="107">H16-I16</f>
        <v>14666</v>
      </c>
      <c r="BT16" s="11">
        <f t="shared" ref="BT16" si="108">M16-N16</f>
        <v>21902</v>
      </c>
      <c r="BU16" s="11">
        <f t="shared" ref="BU16" si="109">R16-S16</f>
        <v>38271</v>
      </c>
      <c r="BV16" s="11">
        <f t="shared" ref="BV16" si="110">W16-X16</f>
        <v>-8334</v>
      </c>
      <c r="BW16" s="11">
        <f t="shared" ref="BW16" si="111">AB16-AC16</f>
        <v>9548</v>
      </c>
      <c r="BX16" s="11">
        <f t="shared" ref="BX16" si="112">AG16-AH16</f>
        <v>20216</v>
      </c>
      <c r="BY16" s="11">
        <f t="shared" ref="BY16" si="113">AL16-AM16</f>
        <v>60870</v>
      </c>
      <c r="BZ16" s="11">
        <f t="shared" ref="BZ16" si="114">AQ16-AR16</f>
        <v>-57</v>
      </c>
      <c r="CA16" s="11">
        <f t="shared" ref="CA16" si="115">AV16-AW16</f>
        <v>50356</v>
      </c>
      <c r="CB16" s="11">
        <f t="shared" ref="CB16" si="116">BA16-BB16</f>
        <v>3137</v>
      </c>
      <c r="CC16" s="11">
        <f t="shared" ref="CC16" si="117">BF16-BG16</f>
        <v>-8111</v>
      </c>
      <c r="CD16" s="11">
        <f t="shared" ref="CD16" si="118">BK16-BL16</f>
        <v>15544</v>
      </c>
      <c r="CE16" s="21">
        <f t="shared" ref="CE16" si="119">((1+BR16/(B16-C16))/(1+BP16/100)-1)*100</f>
        <v>14.133545136820548</v>
      </c>
      <c r="CF16" s="21">
        <f t="shared" ref="CF16" si="120">((1+BS16/(G16-H16))/(1+BP16/100)-1)*100</f>
        <v>15.912992057284736</v>
      </c>
      <c r="CG16" s="21">
        <f t="shared" ref="CG16" si="121">((1+BT16/(L16-M16))/(1+BP16/100)-1)*100</f>
        <v>36.336086550344369</v>
      </c>
      <c r="CH16" s="21">
        <f t="shared" ref="CH16" si="122">((1+BU16/(Q16-R16))/(1+BP16/100)-1)*100</f>
        <v>15.16631725426878</v>
      </c>
      <c r="CI16" s="21">
        <f t="shared" ref="CI16" si="123">((1+BV16/(V16-W16))/(1+BP16/100)-1)*100</f>
        <v>-179.98502678826469</v>
      </c>
      <c r="CJ16" s="21">
        <f t="shared" ref="CJ16" si="124">((1+BW16/(AA16-AB16))/(1+BP16/100)-1)*100</f>
        <v>5.8644193223310825</v>
      </c>
      <c r="CK16" s="21">
        <f t="shared" ref="CK16" si="125">((1+BX16/(AF16-AG16))/(1+BP16/100)-1)*100</f>
        <v>18.044006151829418</v>
      </c>
      <c r="CL16" s="21">
        <f t="shared" ref="CL16" si="126">((1+BY16/(AK16-AL16))/(1+BP16/100)-1)*100</f>
        <v>16.232068693071454</v>
      </c>
      <c r="CM16" s="21">
        <f t="shared" ref="CM16" si="127">((1+BZ16/(AP16-AQ16))/(1+BP16/100)-1)*100</f>
        <v>-0.67711847377195378</v>
      </c>
      <c r="CN16" s="21">
        <f t="shared" ref="CN16" si="128">((1+CA16/(AU16-AV16))/(1+BP16/100)-1)*100</f>
        <v>59.692120878750664</v>
      </c>
      <c r="CO16" s="21">
        <f t="shared" ref="CO16" si="129">((1+CB16/(AZ16-BA16))/(1+BP16/100)-1)*100</f>
        <v>2.8659811997778784</v>
      </c>
      <c r="CP16" s="21">
        <f t="shared" ref="CP16" si="130">((1+CC16/(BE16-BF16))/(1+BP16/100)-1)*100</f>
        <v>-152.10335285569911</v>
      </c>
      <c r="CQ16" s="21">
        <f t="shared" ref="CQ16" si="131">((1+CD16/(BJ16-BK16))/(1+BP16/100)-1)*100</f>
        <v>9.2055204497725853</v>
      </c>
      <c r="CR16" s="21"/>
      <c r="CS16" s="21">
        <f t="shared" ref="CS16" si="132">CE16-CL16</f>
        <v>-2.0985235562509068</v>
      </c>
      <c r="CT16" s="21">
        <f t="shared" ref="CT16" si="133">CF16-CM16</f>
        <v>16.590110531056691</v>
      </c>
      <c r="CU16" s="21">
        <f t="shared" ref="CU16" si="134">CG16-CN16</f>
        <v>-23.356034328406295</v>
      </c>
      <c r="CV16" s="21">
        <f t="shared" ref="CV16" si="135">CH16-CO16</f>
        <v>12.300336054490902</v>
      </c>
      <c r="CW16" s="21">
        <f t="shared" ref="CW16" si="136">CI16-CP16</f>
        <v>-27.881673932565576</v>
      </c>
      <c r="CX16" s="21">
        <f t="shared" ref="CX16" si="137">CJ16-CQ16</f>
        <v>-3.3411011274415028</v>
      </c>
      <c r="CZ16" s="23">
        <f>Balance_on_income!B21</f>
        <v>21661.4</v>
      </c>
      <c r="DA16" s="23">
        <f>Balance_on_income!C21</f>
        <v>6658.6</v>
      </c>
      <c r="DB16" s="23">
        <f>Balance_on_income!D21</f>
        <v>5257</v>
      </c>
      <c r="DC16" s="23">
        <f>Balance_on_income!E21</f>
        <v>8512.4</v>
      </c>
      <c r="DD16" s="23">
        <f>Balance_on_income!F21</f>
        <v>1233.4000000000001</v>
      </c>
      <c r="DE16" s="23">
        <f>Balance_on_income!G21</f>
        <v>5181.5</v>
      </c>
      <c r="DF16" s="23">
        <f>Balance_on_income!H21</f>
        <v>1271.9000000000001</v>
      </c>
      <c r="DG16" s="23">
        <f>Balance_on_income!I21</f>
        <v>2221.3000000000002</v>
      </c>
      <c r="DH16" s="23">
        <f>Balance_on_income!J21</f>
        <v>1030.3</v>
      </c>
      <c r="DI16" s="23">
        <f>Balance_on_income!K21</f>
        <v>658</v>
      </c>
      <c r="DJ16" s="21">
        <f t="shared" ref="DJ16" si="138">((1+CZ16/(B16-C16))/(1+BP16/100)-1)*100</f>
        <v>2.9026883205771403</v>
      </c>
      <c r="DK16" s="21">
        <f t="shared" ref="DK16" si="139">((1+DA16/(G16-H16))/(1+BP16/100)-1)*100</f>
        <v>7.0291917108050939</v>
      </c>
      <c r="DL16" s="21">
        <f t="shared" ref="DL16" si="140">((1+DB16/(L16-M16))/(1+BP16/100)-1)*100</f>
        <v>8.4493120636347285</v>
      </c>
      <c r="DM16" s="21">
        <f t="shared" ref="DM16" si="141">((1+DC16/(Q16-R16))/(1+BP16/100)-1)*100</f>
        <v>3.0948420980812852</v>
      </c>
      <c r="DN16" s="21">
        <f t="shared" ref="DN16" si="142">((1+DD16/(AA16-AB16))/(1+BP16/100)-1)*100</f>
        <v>0.44564488455778317</v>
      </c>
      <c r="DO16" s="21">
        <f t="shared" ref="DO16" si="143">((1+DE16/(AK16-AL16))/(1+BP16/100)-1)*100</f>
        <v>1.0540451657508276</v>
      </c>
      <c r="DP16" s="21">
        <f t="shared" ref="DP16" si="144">((1+DF16/(AP16-AQ16))/(1+BP16/100)-1)*100</f>
        <v>6.7585289410330818</v>
      </c>
      <c r="DQ16" s="21">
        <f t="shared" ref="DQ16" si="145">((1+DG16/(AU16-AV16))/(1+BP16/100)-1)*100</f>
        <v>2.2907503453974076</v>
      </c>
      <c r="DR16" s="21">
        <f t="shared" ref="DR16" si="146">((1+DH16/(AZ16-BA16))/(1+BP16/100)-1)*100</f>
        <v>0.70074402544035852</v>
      </c>
      <c r="DS16" s="21">
        <f t="shared" ref="DS16" si="147">((1+DI16/(BJ16-BK16))/(1+BP16/100)-1)*100</f>
        <v>4.6661354398036536E-2</v>
      </c>
      <c r="DU16" s="11">
        <f t="shared" ref="DU16" si="148">C16-D16-E16</f>
        <v>-9001</v>
      </c>
      <c r="DV16" s="11">
        <f t="shared" ref="DV16" si="149">H16-I16-J16</f>
        <v>86</v>
      </c>
      <c r="DW16" s="11">
        <f t="shared" ref="DW16" si="150">M16-N16-O16</f>
        <v>9744</v>
      </c>
      <c r="DX16" s="11">
        <f t="shared" ref="DX16" si="151">R16-S16-T16</f>
        <v>1859</v>
      </c>
      <c r="DY16" s="11">
        <f t="shared" ref="DY16" si="152">W16-X16-Y16</f>
        <v>-8339</v>
      </c>
      <c r="DZ16" s="11">
        <f t="shared" ref="DZ16" si="153">AB16-AC16-AD16</f>
        <v>-7721</v>
      </c>
      <c r="EA16" s="11">
        <f t="shared" ref="EA16" si="154">AG16-AH16-AI16</f>
        <v>-4628</v>
      </c>
      <c r="EB16" s="11">
        <f t="shared" ref="EB16" si="155">AL16-AM16-AN16</f>
        <v>36073</v>
      </c>
      <c r="EC16" s="11">
        <f t="shared" ref="EC16" si="156">AQ16-AR16-AS16</f>
        <v>-57</v>
      </c>
      <c r="ED16" s="11">
        <f t="shared" ref="ED16" si="157">AV16-AW16-AX16</f>
        <v>50356</v>
      </c>
      <c r="EE16" s="11">
        <f t="shared" ref="EE16" si="158">BA16-BB16-BC16</f>
        <v>1589</v>
      </c>
      <c r="EF16" s="11">
        <f t="shared" ref="EF16" si="159">BF16-BG16-BH16</f>
        <v>-8111</v>
      </c>
      <c r="EG16" s="11">
        <f t="shared" ref="EG16" si="160">BK16-BL16-BM16</f>
        <v>-7705</v>
      </c>
      <c r="EH16" s="21">
        <f t="shared" ref="EH16" si="161">((1+DU16/(B16-C16))/(1+BP16/100)-1)*100</f>
        <v>-1.7131801921202117</v>
      </c>
      <c r="EI16" s="21">
        <f t="shared" ref="EI16" si="162">((1+DV16/(G16-H16))/(1+BP16/100)-1)*100</f>
        <v>-0.26277149289051227</v>
      </c>
      <c r="EJ16" s="21">
        <f t="shared" ref="EJ16" si="163">((1+DW16/(L16-M16))/(1+BP16/100)-1)*100</f>
        <v>15.966762176092896</v>
      </c>
      <c r="EK16" s="21">
        <f t="shared" ref="EK16" si="164">((1+DX16/(Q16-R16))/(1+BP16/100)-1)*100</f>
        <v>0.39591295476881783</v>
      </c>
      <c r="EL16" s="21">
        <f t="shared" ref="EL16" si="165">((1+DY16/(V16-W16))/(1+BP16/100)-1)*100</f>
        <v>-180.09279427248495</v>
      </c>
      <c r="EM16" s="21">
        <f t="shared" ref="EM16" si="166">((1+DZ16/(AA16-AB16))/(1+BP16/100)-1)*100</f>
        <v>-5.3900987261507272</v>
      </c>
      <c r="EN16" s="21">
        <f t="shared" ref="EN16" si="167">((1+EA16/(AF16-AG16))/(1+BP16/100)-1)*100</f>
        <v>-4.5709530076030962</v>
      </c>
      <c r="EO16" s="21">
        <f t="shared" ref="EO16" si="168">((1+EB16/(AK16-AL16))/(1+BP16/100)-1)*100</f>
        <v>9.4735916393355879</v>
      </c>
      <c r="EP16" s="21">
        <f t="shared" ref="EP16" si="169">((1+EC16/(AP16-AQ16))/(1+BP16/100)-1)*100</f>
        <v>-0.67711847377195378</v>
      </c>
      <c r="EQ16" s="21">
        <f t="shared" ref="EQ16" si="170">((1+ED16/(AU16-AV16))/(1+BP16/100)-1)*100</f>
        <v>59.692120878750664</v>
      </c>
      <c r="ER16" s="21">
        <f t="shared" ref="ER16" si="171">((1+EE16/(AZ16-BA16))/(1+BP16/100)-1)*100</f>
        <v>1.2749681718790207</v>
      </c>
      <c r="ES16" s="21">
        <f t="shared" ref="ES16" si="172">((1+EF16/(BE16-BF16))/(1+BP16/100)-1)*100</f>
        <v>-152.10335285569911</v>
      </c>
      <c r="ET16" s="21">
        <f t="shared" ref="ET16" si="173">((1+EG16/(BJ16-BK16))/(1+BP16/100)-1)*100</f>
        <v>-5.0988134954351949</v>
      </c>
      <c r="EV16" s="23">
        <f t="shared" ref="EV16" si="174">CZ16+BR16</f>
        <v>117927.4</v>
      </c>
      <c r="EW16" s="23">
        <f t="shared" ref="EW16" si="175">BS16+DA16</f>
        <v>21324.6</v>
      </c>
      <c r="EX16" s="23">
        <f t="shared" ref="EX16" si="176">BT16+DB16</f>
        <v>27159</v>
      </c>
      <c r="EY16" s="23">
        <f t="shared" ref="EY16" si="177">BU16+DC16</f>
        <v>46783.4</v>
      </c>
      <c r="EZ16" s="23">
        <f t="shared" ref="EZ16" si="178">BW16+DD16</f>
        <v>10781.4</v>
      </c>
      <c r="FA16" s="23">
        <f t="shared" ref="FA16" si="179">BX16</f>
        <v>20216</v>
      </c>
      <c r="FB16" s="23">
        <f t="shared" ref="FB16" si="180">DE16+BY16</f>
        <v>66051.5</v>
      </c>
      <c r="FC16" s="23">
        <f t="shared" ref="FC16" si="181">BZ16+DF16</f>
        <v>1214.9000000000001</v>
      </c>
      <c r="FD16" s="23">
        <f t="shared" ref="FD16" si="182">CA16+DG16</f>
        <v>52577.3</v>
      </c>
      <c r="FE16" s="23">
        <f t="shared" ref="FE16" si="183">CB16+DH16</f>
        <v>4167.3</v>
      </c>
      <c r="FF16" s="23">
        <f t="shared" ref="FF16" si="184">CD16+DI16</f>
        <v>16202</v>
      </c>
      <c r="FG16" s="21">
        <f t="shared" ref="FG16" si="185">((1+EV16/(B16-C16))/(1+BP16/100)-1)*100</f>
        <v>17.394417547360575</v>
      </c>
      <c r="FH16" s="21">
        <f t="shared" ref="FH16" si="186">((1+EW16/(G16-H16))/(1+BP16/100)-1)*100</f>
        <v>23.300367858052716</v>
      </c>
      <c r="FI16" s="21">
        <f t="shared" ref="FI16" si="187">((1+EX16/(L16-M16))/(1+BP16/100)-1)*100</f>
        <v>45.143582703941988</v>
      </c>
      <c r="FJ16" s="21">
        <f t="shared" ref="FJ16" si="188">((1+EY16/(Q16-R16))/(1+BP16/100)-1)*100</f>
        <v>18.619343442312932</v>
      </c>
      <c r="FK16" s="21">
        <f t="shared" ref="FK16" si="189">((1+EZ16/(AA16-AB16))/(1+BP16/100)-1)*100</f>
        <v>6.6682482968517531</v>
      </c>
      <c r="FL16" s="21">
        <f t="shared" ref="FL16" si="190">((1+FA16/(AF16-AG16))/(1+BP16/100)-1)*100</f>
        <v>18.044006151829418</v>
      </c>
      <c r="FM16" s="21">
        <f t="shared" ref="FM16" si="191">((1+FB16/(AK16-AL16))/(1+BP16/100)-1)*100</f>
        <v>17.644297948785169</v>
      </c>
      <c r="FN16" s="21">
        <f t="shared" ref="FN16" si="192">((1+FC16/(AP16-AQ16))/(1+BP16/100)-1)*100</f>
        <v>6.4395945572240265</v>
      </c>
      <c r="FO16" s="21">
        <f t="shared" ref="FO16" si="193">((1+FD16/(AU16-AV16))/(1+BP16/100)-1)*100</f>
        <v>62.34105531411096</v>
      </c>
      <c r="FP16" s="21">
        <f t="shared" ref="FP16" si="194">((1+FE16/(AZ16-BA16))/(1+BP16/100)-1)*100</f>
        <v>3.9249093151810799</v>
      </c>
      <c r="FQ16" s="21">
        <f t="shared" ref="FQ16" si="195">((1+FF16/(BJ16-BK16))/(1+BP16/100)-1)*100</f>
        <v>9.6103658941334871</v>
      </c>
      <c r="FS16" s="21">
        <f t="shared" ref="FS16" si="196">FG16-FM16</f>
        <v>-0.24988040142459411</v>
      </c>
      <c r="FT16" s="21">
        <f t="shared" ref="FT16" si="197">FH16-FN16</f>
        <v>16.86077330082869</v>
      </c>
      <c r="FU16" s="21">
        <f t="shared" ref="FU16" si="198">FI16-FO16</f>
        <v>-17.197472610168973</v>
      </c>
      <c r="FV16" s="21">
        <f t="shared" ref="FV16" si="199">FJ16-FP16</f>
        <v>14.694434127131853</v>
      </c>
      <c r="FW16" s="21">
        <f t="shared" ref="FW16" si="200">FK16-FQ16</f>
        <v>-2.9421175972817339</v>
      </c>
      <c r="FY16" s="23">
        <f t="shared" ref="FY16" si="201">DU16+CZ16</f>
        <v>12660.400000000001</v>
      </c>
      <c r="FZ16" s="23">
        <f t="shared" ref="FZ16" si="202">DA16+DV16</f>
        <v>6744.6</v>
      </c>
      <c r="GA16" s="23">
        <f t="shared" ref="GA16" si="203">DB16+DW16</f>
        <v>15001</v>
      </c>
      <c r="GB16" s="23">
        <f t="shared" ref="GB16" si="204">DC16+DX16</f>
        <v>10371.4</v>
      </c>
      <c r="GC16" s="23">
        <f t="shared" ref="GC16" si="205">DD16+DZ16</f>
        <v>-6487.6</v>
      </c>
      <c r="GD16" s="23">
        <f t="shared" ref="GD16" si="206">EA16</f>
        <v>-4628</v>
      </c>
      <c r="GE16" s="23">
        <f t="shared" ref="GE16" si="207">EB16+DE16</f>
        <v>41254.5</v>
      </c>
      <c r="GF16" s="23">
        <f t="shared" ref="GF16" si="208">DF16+EC16</f>
        <v>1214.9000000000001</v>
      </c>
      <c r="GG16" s="23">
        <f t="shared" ref="GG16" si="209">DG16+ED16</f>
        <v>52577.3</v>
      </c>
      <c r="GH16" s="23">
        <f t="shared" ref="GH16" si="210">DH16+EE16</f>
        <v>2619.3000000000002</v>
      </c>
      <c r="GI16" s="23">
        <f t="shared" ref="GI16" si="211">DI16+EG16</f>
        <v>-7047</v>
      </c>
      <c r="GJ16" s="21">
        <f t="shared" ref="GJ16" si="212">((FY16/(B16-C16)+1)/(1+BP16/100)-1)*100</f>
        <v>1.5476922184198161</v>
      </c>
      <c r="GK16" s="21">
        <f t="shared" ref="GK16" si="213">((FZ16/(G16-H16)+1)/(1+BP16/100)-1)*100</f>
        <v>7.124604307877469</v>
      </c>
      <c r="GL16" s="21">
        <f t="shared" ref="GL16" si="214">((GA16/(L16-M16)+1)/(1+BP16/100)-1)*100</f>
        <v>24.774258329690536</v>
      </c>
      <c r="GM16" s="21">
        <f t="shared" ref="GM16" si="215">((GB16/(Q16-R16)+1)/(1+BP16/100)-1)*100</f>
        <v>3.848939142812946</v>
      </c>
      <c r="GN16" s="21">
        <f t="shared" ref="GN16" si="216">((GC16/(AA16-AB16)+1)/(1+BP16/100)-1)*100</f>
        <v>-4.5862697516300681</v>
      </c>
      <c r="GO16" s="21">
        <f t="shared" ref="GO16" si="217">((GD16/(AF16-AG16)+1)/(1+BP16/100)-1)*100</f>
        <v>-4.5709530076030962</v>
      </c>
      <c r="GP16" s="21">
        <f t="shared" ref="GP16" si="218">((GE16/(AK16-AL16)+1)/(1+BP16/100)-1)*100</f>
        <v>10.885820895049282</v>
      </c>
      <c r="GQ16" s="21">
        <f t="shared" ref="GQ16" si="219">((GF16/(AP16-AQ16)+1)/(1+BP16/100)-1)*100</f>
        <v>6.4395945572240265</v>
      </c>
      <c r="GR16" s="21">
        <f t="shared" ref="GR16" si="220">((GG16/(AU16-AV16)+1)/(1+BP16/100)-1)*100</f>
        <v>62.34105531411096</v>
      </c>
      <c r="GS16" s="21">
        <f t="shared" ref="GS16" si="221">((GH16/(AZ16-BA16)+1)/(1+BP16/100)-1)*100</f>
        <v>2.3338962872822444</v>
      </c>
      <c r="GT16" s="21">
        <f t="shared" ref="GT16" si="222">((GI16/(BJ16-BK16)+1)/(1+BP16/100)-1)*100</f>
        <v>-4.6939680510742825</v>
      </c>
      <c r="GV16" s="21">
        <f t="shared" ref="GV16" si="223">GJ16-GP16</f>
        <v>-9.3381286766294664</v>
      </c>
      <c r="GW16" s="21">
        <f t="shared" ref="GW16" si="224">GK16-GQ16</f>
        <v>0.6850097506534425</v>
      </c>
      <c r="GX16" s="21">
        <f t="shared" ref="GX16" si="225">GL16-GR16</f>
        <v>-37.566796984420421</v>
      </c>
      <c r="GY16" s="21">
        <f t="shared" ref="GY16" si="226">GM16-GS16</f>
        <v>1.5150428555307016</v>
      </c>
      <c r="GZ16" s="21">
        <f t="shared" ref="GZ16" si="227">GN16-GT16</f>
        <v>0.10769829944421438</v>
      </c>
      <c r="HC16" s="44">
        <f t="shared" ref="HC16" si="228">DC16/((Q16-R16)+(AF16-AG16))</f>
        <v>2.3971838918614475E-2</v>
      </c>
      <c r="HD16" s="44">
        <f t="shared" ref="HD16" si="229">DH16/(AZ16-BA16)</f>
        <v>1.0627346618805957E-2</v>
      </c>
      <c r="HE16" s="8"/>
      <c r="HF16" s="44">
        <f t="shared" ref="HF16" si="230">((1+HC16)/(1+BP16/100)-1)*100</f>
        <v>2.0304134705907639</v>
      </c>
      <c r="HG16" s="44">
        <f t="shared" ref="HG16" si="231">((1+HD16)/(1+BP16/100)-1)*100</f>
        <v>0.70074402544035852</v>
      </c>
      <c r="HH16" s="44">
        <f t="shared" ref="HH16" si="232">HF16-HG16</f>
        <v>1.3296694451504054</v>
      </c>
    </row>
    <row r="17" spans="1:216" s="11" customFormat="1" ht="15">
      <c r="CE17" s="21"/>
      <c r="CF17" s="21"/>
      <c r="CG17" s="21"/>
      <c r="CH17" s="21"/>
      <c r="CI17" s="21"/>
      <c r="CJ17" s="21"/>
      <c r="CK17" s="21"/>
      <c r="CL17" s="21"/>
      <c r="CM17" s="21"/>
      <c r="CN17" s="21"/>
      <c r="CO17" s="21"/>
      <c r="CP17" s="21"/>
      <c r="CQ17" s="21"/>
      <c r="CR17" s="21"/>
      <c r="CS17" s="21"/>
      <c r="CT17" s="21"/>
      <c r="CU17" s="21"/>
      <c r="CV17" s="21"/>
      <c r="CW17" s="21"/>
      <c r="CX17" s="21"/>
      <c r="CZ17" s="23"/>
      <c r="DA17" s="23"/>
      <c r="DB17" s="23"/>
      <c r="DC17" s="23"/>
      <c r="DD17" s="23"/>
      <c r="DE17" s="23"/>
      <c r="DF17" s="23"/>
      <c r="DG17" s="23"/>
      <c r="DH17" s="23"/>
      <c r="DI17" s="23"/>
      <c r="EH17" s="21"/>
      <c r="EI17" s="21"/>
      <c r="EJ17" s="21"/>
      <c r="EK17" s="21"/>
      <c r="EL17" s="21"/>
      <c r="EM17" s="21"/>
      <c r="EN17" s="21"/>
      <c r="EO17" s="21"/>
      <c r="EP17" s="21"/>
      <c r="EQ17" s="21"/>
      <c r="ER17" s="21"/>
      <c r="ES17" s="21"/>
      <c r="ET17" s="21"/>
      <c r="FS17" s="21"/>
      <c r="FT17" s="21"/>
      <c r="FU17" s="21"/>
      <c r="FV17" s="21"/>
      <c r="FW17" s="21"/>
      <c r="GV17" s="21"/>
      <c r="GW17" s="21"/>
      <c r="GX17" s="21"/>
      <c r="GY17" s="21"/>
      <c r="GZ17" s="21"/>
      <c r="HC17" s="8"/>
      <c r="HD17" s="8"/>
      <c r="HE17" s="8"/>
      <c r="HF17" s="8"/>
      <c r="HG17" s="8"/>
      <c r="HH17" s="8"/>
    </row>
    <row r="18" spans="1:216" s="11" customFormat="1" ht="15">
      <c r="A18" s="11" t="s">
        <v>625</v>
      </c>
      <c r="CE18" s="21">
        <f>AVERAGE(CE4:CE16)</f>
        <v>0.28827046558014213</v>
      </c>
      <c r="CF18" s="21">
        <f t="shared" ref="CF18:CQ18" si="233">AVERAGE(CF4:CF16)</f>
        <v>-1.4691253679545695</v>
      </c>
      <c r="CG18" s="21">
        <f t="shared" si="233"/>
        <v>5.8000998014566498</v>
      </c>
      <c r="CH18" s="21">
        <f t="shared" si="233"/>
        <v>0.56151151803841048</v>
      </c>
      <c r="CI18" s="21">
        <f t="shared" si="233"/>
        <v>-198.45014084381882</v>
      </c>
      <c r="CJ18" s="21">
        <f t="shared" si="233"/>
        <v>1.5882633024456803</v>
      </c>
      <c r="CK18" s="21">
        <f t="shared" si="233"/>
        <v>1.0319630942602924</v>
      </c>
      <c r="CL18" s="21">
        <f t="shared" si="233"/>
        <v>0.32207538770036509</v>
      </c>
      <c r="CM18" s="21">
        <f t="shared" si="233"/>
        <v>3.1840594127944399</v>
      </c>
      <c r="CN18" s="21">
        <f t="shared" si="233"/>
        <v>5.7831067284585815</v>
      </c>
      <c r="CO18" s="21">
        <f t="shared" si="233"/>
        <v>-1.3205423940831058</v>
      </c>
      <c r="CP18" s="21">
        <f t="shared" si="233"/>
        <v>-172.16348986121577</v>
      </c>
      <c r="CQ18" s="21">
        <f t="shared" si="233"/>
        <v>2.1036451986480826</v>
      </c>
      <c r="CR18" s="21"/>
      <c r="CS18" s="21">
        <f>AVERAGE(CS4:CS16)</f>
        <v>-3.3804922120223235E-2</v>
      </c>
      <c r="CT18" s="21">
        <f t="shared" ref="CT18:CX18" si="234">AVERAGE(CT4:CT16)</f>
        <v>-4.6531847807490099</v>
      </c>
      <c r="CU18" s="21">
        <f t="shared" si="234"/>
        <v>1.6993072998066995E-2</v>
      </c>
      <c r="CV18" s="21">
        <f t="shared" si="234"/>
        <v>1.8820539121215167</v>
      </c>
      <c r="CW18" s="21">
        <f t="shared" si="234"/>
        <v>-26.286650982603042</v>
      </c>
      <c r="CX18" s="21">
        <f t="shared" si="234"/>
        <v>-0.51538189620240216</v>
      </c>
      <c r="CZ18" s="23"/>
      <c r="DA18" s="23"/>
      <c r="DB18" s="23"/>
      <c r="DC18" s="23"/>
      <c r="DD18" s="23"/>
      <c r="DE18" s="23"/>
      <c r="DF18" s="23"/>
      <c r="DG18" s="23"/>
      <c r="DH18" s="23"/>
      <c r="DJ18" s="21">
        <f>AVERAGE(DJ4:DJ16)</f>
        <v>3.5931440870395068</v>
      </c>
      <c r="DK18" s="21">
        <f t="shared" ref="DK18:DS18" si="235">AVERAGE(DK4:DK16)</f>
        <v>7.202637112912452</v>
      </c>
      <c r="DL18" s="21">
        <f t="shared" si="235"/>
        <v>6.0435212717545754</v>
      </c>
      <c r="DM18" s="21">
        <f t="shared" si="235"/>
        <v>4.8184487126654414</v>
      </c>
      <c r="DN18" s="21">
        <f t="shared" si="235"/>
        <v>1.7181655138205714</v>
      </c>
      <c r="DO18" s="21">
        <f t="shared" si="235"/>
        <v>1.7659319012525261</v>
      </c>
      <c r="DP18" s="21">
        <f t="shared" si="235"/>
        <v>7.8485124076376325</v>
      </c>
      <c r="DQ18" s="21">
        <f t="shared" si="235"/>
        <v>1.7569665392787088</v>
      </c>
      <c r="DR18" s="21">
        <f t="shared" si="235"/>
        <v>1.9369452858880389</v>
      </c>
      <c r="DS18" s="21">
        <f t="shared" si="235"/>
        <v>1.2525523228158459</v>
      </c>
      <c r="EH18" s="21">
        <f>AVERAGE(EH4:EH16)</f>
        <v>-0.1222866228151316</v>
      </c>
      <c r="EI18" s="21">
        <f t="shared" ref="EI18:ET18" si="236">AVERAGE(EI4:EI16)</f>
        <v>-2.255810781622849</v>
      </c>
      <c r="EJ18" s="21">
        <f t="shared" si="236"/>
        <v>4.2507651855984783</v>
      </c>
      <c r="EK18" s="21">
        <f t="shared" si="236"/>
        <v>-0.14009441802651509</v>
      </c>
      <c r="EL18" s="21">
        <f t="shared" si="236"/>
        <v>-198.44608826363654</v>
      </c>
      <c r="EM18" s="21">
        <f t="shared" si="236"/>
        <v>1.7095358788603225</v>
      </c>
      <c r="EN18" s="21">
        <f t="shared" si="236"/>
        <v>1.1353459055669055</v>
      </c>
      <c r="EO18" s="21">
        <f t="shared" si="236"/>
        <v>0.20258123206014478</v>
      </c>
      <c r="EP18" s="21">
        <f t="shared" si="236"/>
        <v>3.1840594127944399</v>
      </c>
      <c r="EQ18" s="21">
        <f t="shared" si="236"/>
        <v>5.7831067284585815</v>
      </c>
      <c r="ER18" s="21">
        <f t="shared" si="236"/>
        <v>-1.4933533567619841</v>
      </c>
      <c r="ES18" s="21">
        <f t="shared" si="236"/>
        <v>-172.16348986121577</v>
      </c>
      <c r="ET18" s="21">
        <f t="shared" si="236"/>
        <v>2.0423850026845902</v>
      </c>
      <c r="EZ18" s="21"/>
      <c r="FA18" s="21"/>
      <c r="FF18" s="21"/>
      <c r="FG18" s="21">
        <f>AVERAGE(FG4:FG16)</f>
        <v>3.6779584195043715</v>
      </c>
      <c r="FH18" s="21">
        <f t="shared" ref="FH18:FQ18" si="237">AVERAGE(FH4:FH16)</f>
        <v>5.5300556118426067</v>
      </c>
      <c r="FI18" s="21">
        <f t="shared" si="237"/>
        <v>11.640164940095959</v>
      </c>
      <c r="FJ18" s="21">
        <f t="shared" si="237"/>
        <v>5.1765040975885812</v>
      </c>
      <c r="FK18" s="21">
        <f t="shared" si="237"/>
        <v>3.1029726831509805</v>
      </c>
      <c r="FL18" s="21">
        <f t="shared" si="237"/>
        <v>1.0319630942602924</v>
      </c>
      <c r="FM18" s="21">
        <f t="shared" si="237"/>
        <v>1.8845511558376187</v>
      </c>
      <c r="FN18" s="21">
        <f t="shared" si="237"/>
        <v>10.829115687316792</v>
      </c>
      <c r="FO18" s="21">
        <f t="shared" si="237"/>
        <v>7.336617134622025</v>
      </c>
      <c r="FP18" s="21">
        <f t="shared" si="237"/>
        <v>0.41294675868965586</v>
      </c>
      <c r="FQ18" s="21">
        <f t="shared" si="237"/>
        <v>3.1527413883486513</v>
      </c>
      <c r="FS18" s="21">
        <f>AVERAGE(FS4:FS16)</f>
        <v>1.7934072636667528</v>
      </c>
      <c r="FT18" s="21">
        <f t="shared" ref="FT18:FW18" si="238">AVERAGE(FT4:FT16)</f>
        <v>-5.2990600754741877</v>
      </c>
      <c r="FU18" s="21">
        <f t="shared" si="238"/>
        <v>4.3035478054739347</v>
      </c>
      <c r="FV18" s="21">
        <f t="shared" si="238"/>
        <v>4.7635573388989254</v>
      </c>
      <c r="FW18" s="21">
        <f t="shared" si="238"/>
        <v>-4.9768705197670772E-2</v>
      </c>
      <c r="GJ18" s="21">
        <f>AVERAGE(GJ4:GJ16)</f>
        <v>3.267401331109105</v>
      </c>
      <c r="GK18" s="21">
        <f t="shared" ref="GK18:GT18" si="239">AVERAGE(GK4:GK16)</f>
        <v>4.743370198174329</v>
      </c>
      <c r="GL18" s="21">
        <f t="shared" si="239"/>
        <v>10.090830324237789</v>
      </c>
      <c r="GM18" s="21">
        <f t="shared" si="239"/>
        <v>4.474898161523658</v>
      </c>
      <c r="GN18" s="21">
        <f t="shared" si="239"/>
        <v>3.2242452595656204</v>
      </c>
      <c r="GO18" s="21">
        <f t="shared" si="239"/>
        <v>1.1353459055669055</v>
      </c>
      <c r="GP18" s="21">
        <f t="shared" si="239"/>
        <v>1.7650570001973942</v>
      </c>
      <c r="GQ18" s="21">
        <f t="shared" si="239"/>
        <v>10.829115687316792</v>
      </c>
      <c r="GR18" s="21">
        <f t="shared" si="239"/>
        <v>7.336617134622025</v>
      </c>
      <c r="GS18" s="21">
        <f t="shared" si="239"/>
        <v>0.24013579601077895</v>
      </c>
      <c r="GT18" s="21">
        <f t="shared" si="239"/>
        <v>3.0914811923851655</v>
      </c>
      <c r="GV18" s="21">
        <f>AVERAGE(GV4:GV16)</f>
        <v>1.5023443309117104</v>
      </c>
      <c r="GW18" s="21">
        <f t="shared" ref="GW18:GZ18" si="240">AVERAGE(GW4:GW16)</f>
        <v>-6.0857454891424627</v>
      </c>
      <c r="GX18" s="21">
        <f t="shared" si="240"/>
        <v>2.7542131896157662</v>
      </c>
      <c r="GY18" s="21">
        <f t="shared" si="240"/>
        <v>4.2347623655128794</v>
      </c>
      <c r="GZ18" s="21">
        <f t="shared" si="240"/>
        <v>0.13276406718045403</v>
      </c>
      <c r="HC18" s="8"/>
      <c r="HD18" s="8"/>
      <c r="HE18" s="8"/>
      <c r="HF18" s="8"/>
      <c r="HG18" s="8"/>
      <c r="HH18" s="44">
        <f>AVERAGE(HH4:HH16)</f>
        <v>1.4473127847010636</v>
      </c>
    </row>
    <row r="19" spans="1:216" s="11" customFormat="1" ht="15">
      <c r="CE19" s="21"/>
      <c r="CF19" s="21"/>
      <c r="CG19" s="21"/>
      <c r="CH19" s="21"/>
      <c r="CI19" s="21"/>
      <c r="CJ19" s="21"/>
      <c r="CK19" s="21"/>
      <c r="CL19" s="21"/>
      <c r="CM19" s="21"/>
      <c r="CN19" s="21"/>
      <c r="CO19" s="21"/>
      <c r="CP19" s="21"/>
      <c r="CQ19" s="21"/>
      <c r="CR19" s="21"/>
      <c r="CS19" s="21"/>
      <c r="CT19" s="21"/>
      <c r="CU19" s="21"/>
      <c r="CV19" s="21"/>
      <c r="CW19" s="21"/>
      <c r="CX19" s="21"/>
      <c r="CZ19" s="23"/>
      <c r="DA19" s="23"/>
      <c r="DB19" s="23"/>
      <c r="DC19" s="23"/>
      <c r="DD19" s="23"/>
      <c r="DE19" s="23"/>
      <c r="DF19" s="23"/>
      <c r="DG19" s="23"/>
      <c r="DH19" s="23"/>
      <c r="DJ19" s="21"/>
      <c r="DK19" s="21"/>
      <c r="DL19" s="21"/>
      <c r="DM19" s="21"/>
      <c r="DN19" s="21"/>
      <c r="DO19" s="21"/>
      <c r="DP19" s="21"/>
      <c r="DQ19" s="21"/>
      <c r="DR19" s="21"/>
      <c r="DS19" s="21"/>
      <c r="EH19" s="21"/>
      <c r="EI19" s="21"/>
      <c r="EJ19" s="21"/>
      <c r="EK19" s="21"/>
      <c r="EL19" s="21"/>
      <c r="EM19" s="21"/>
      <c r="EN19" s="21"/>
      <c r="EO19" s="21"/>
      <c r="EP19" s="21"/>
      <c r="EQ19" s="21"/>
      <c r="ER19" s="21"/>
      <c r="ES19" s="21"/>
      <c r="ET19" s="21"/>
      <c r="EZ19" s="21"/>
      <c r="FA19" s="21"/>
      <c r="FF19" s="21"/>
      <c r="FG19" s="21"/>
      <c r="FH19" s="21"/>
      <c r="FI19" s="21"/>
      <c r="FJ19" s="21"/>
      <c r="FK19" s="21"/>
      <c r="FL19" s="21"/>
      <c r="FM19" s="21"/>
      <c r="FN19" s="21"/>
      <c r="FO19" s="21"/>
      <c r="FP19" s="21"/>
      <c r="FQ19" s="21"/>
      <c r="FS19" s="21"/>
      <c r="FT19" s="21"/>
      <c r="FU19" s="21"/>
      <c r="FV19" s="21"/>
      <c r="FW19" s="21"/>
      <c r="GJ19" s="21"/>
      <c r="GK19" s="21"/>
      <c r="GL19" s="21"/>
      <c r="GM19" s="21"/>
      <c r="GN19" s="21"/>
      <c r="GO19" s="21"/>
      <c r="GP19" s="21"/>
      <c r="GQ19" s="21"/>
      <c r="GR19" s="21"/>
      <c r="GS19" s="21"/>
      <c r="GT19" s="21"/>
      <c r="GV19" s="21"/>
      <c r="GW19" s="21"/>
      <c r="GX19" s="21"/>
      <c r="GY19" s="21"/>
      <c r="GZ19" s="21"/>
      <c r="HC19" s="8"/>
      <c r="HD19" s="8"/>
      <c r="HE19" s="8"/>
      <c r="HF19" s="8"/>
      <c r="HG19" s="8"/>
      <c r="HH19" s="44"/>
    </row>
    <row r="20" spans="1:216" s="11" customFormat="1" ht="15">
      <c r="A20" s="11" t="s">
        <v>374</v>
      </c>
      <c r="CE20" s="21"/>
      <c r="CF20" s="21"/>
      <c r="CG20" s="21"/>
      <c r="CH20" s="21"/>
      <c r="CI20" s="21"/>
      <c r="CJ20" s="21"/>
      <c r="CK20" s="21"/>
      <c r="CL20" s="21"/>
      <c r="CM20" s="21"/>
      <c r="CN20" s="21"/>
      <c r="CO20" s="21"/>
      <c r="CP20" s="21"/>
      <c r="CQ20" s="21"/>
      <c r="CR20" s="21"/>
      <c r="CS20" s="21"/>
      <c r="CT20" s="21"/>
      <c r="CU20" s="21"/>
      <c r="CV20" s="21"/>
      <c r="CW20" s="21"/>
      <c r="CX20" s="21"/>
      <c r="CZ20" s="23"/>
      <c r="DA20" s="23"/>
      <c r="DB20" s="23"/>
      <c r="DC20" s="23"/>
      <c r="DD20" s="23"/>
      <c r="DE20" s="23"/>
      <c r="DF20" s="23"/>
      <c r="DG20" s="23"/>
      <c r="DH20" s="23"/>
      <c r="DJ20" s="21"/>
      <c r="DK20" s="21"/>
      <c r="DL20" s="21"/>
      <c r="DM20" s="21"/>
      <c r="DN20" s="21"/>
      <c r="DO20" s="21"/>
      <c r="DP20" s="21"/>
      <c r="DQ20" s="21"/>
      <c r="DR20" s="21"/>
      <c r="DS20" s="21"/>
      <c r="EH20" s="21"/>
      <c r="EI20" s="21"/>
      <c r="EJ20" s="21"/>
      <c r="EK20" s="21"/>
      <c r="EL20" s="21"/>
      <c r="EM20" s="21"/>
      <c r="EN20" s="21"/>
      <c r="EO20" s="21"/>
      <c r="EP20" s="21"/>
      <c r="EQ20" s="21"/>
      <c r="ER20" s="21"/>
      <c r="ES20" s="21"/>
      <c r="ET20" s="21"/>
      <c r="EZ20" s="21"/>
      <c r="FA20" s="21"/>
      <c r="FF20" s="21"/>
      <c r="FG20" s="21"/>
      <c r="FH20" s="21"/>
      <c r="FI20" s="21"/>
      <c r="FJ20" s="21"/>
      <c r="FK20" s="21"/>
      <c r="FL20" s="21"/>
      <c r="FM20" s="21"/>
      <c r="FN20" s="21"/>
      <c r="FO20" s="21"/>
      <c r="FP20" s="21"/>
      <c r="FQ20" s="21"/>
      <c r="FS20" s="21"/>
      <c r="FT20" s="21"/>
      <c r="FU20" s="21"/>
      <c r="FV20" s="21"/>
      <c r="FW20" s="21"/>
      <c r="GJ20" s="21"/>
      <c r="GK20" s="21"/>
      <c r="GL20" s="21"/>
      <c r="GM20" s="21"/>
      <c r="GN20" s="21"/>
      <c r="GO20" s="21"/>
      <c r="GP20" s="21"/>
      <c r="GQ20" s="21"/>
      <c r="GR20" s="21"/>
      <c r="GS20" s="21"/>
      <c r="GT20" s="21"/>
      <c r="GV20" s="21"/>
      <c r="GW20" s="21"/>
      <c r="GX20" s="21"/>
      <c r="GY20" s="21"/>
      <c r="GZ20" s="21"/>
      <c r="HC20" s="8"/>
      <c r="HD20" s="8"/>
      <c r="HE20" s="8"/>
      <c r="HF20" s="8"/>
      <c r="HG20" s="8"/>
      <c r="HH20" s="44"/>
    </row>
    <row r="21" spans="1:216" s="11" customFormat="1" ht="15">
      <c r="A21" s="11" t="s">
        <v>375</v>
      </c>
      <c r="CE21" s="21"/>
      <c r="CF21" s="21"/>
      <c r="CG21" s="21"/>
      <c r="CH21" s="21"/>
      <c r="CI21" s="21"/>
      <c r="CJ21" s="21"/>
      <c r="CK21" s="21"/>
      <c r="CL21" s="21"/>
      <c r="CM21" s="21"/>
      <c r="CN21" s="21"/>
      <c r="CO21" s="21"/>
      <c r="CP21" s="21"/>
      <c r="CQ21" s="21"/>
      <c r="CR21" s="21"/>
      <c r="CS21" s="21"/>
      <c r="CT21" s="21"/>
      <c r="CU21" s="21"/>
      <c r="CV21" s="21"/>
      <c r="CW21" s="21"/>
      <c r="CX21" s="21"/>
      <c r="CZ21" s="23"/>
      <c r="DA21" s="23"/>
      <c r="DB21" s="23"/>
      <c r="DC21" s="23"/>
      <c r="DD21" s="23"/>
      <c r="DE21" s="23"/>
      <c r="DF21" s="23"/>
      <c r="DG21" s="23"/>
      <c r="DH21" s="23"/>
      <c r="DJ21" s="21"/>
      <c r="DK21" s="21"/>
      <c r="DL21" s="21"/>
      <c r="DM21" s="21"/>
      <c r="DN21" s="21"/>
      <c r="DO21" s="21"/>
      <c r="DP21" s="21"/>
      <c r="DQ21" s="21"/>
      <c r="DR21" s="21"/>
      <c r="DS21" s="21"/>
      <c r="EH21" s="21"/>
      <c r="EI21" s="21"/>
      <c r="EJ21" s="21"/>
      <c r="EK21" s="21"/>
      <c r="EL21" s="21"/>
      <c r="EM21" s="21"/>
      <c r="EN21" s="21"/>
      <c r="EO21" s="21"/>
      <c r="EP21" s="21"/>
      <c r="EQ21" s="21"/>
      <c r="ER21" s="21"/>
      <c r="ES21" s="21"/>
      <c r="ET21" s="21"/>
      <c r="FS21" s="21"/>
      <c r="FT21" s="21"/>
      <c r="FU21" s="21"/>
      <c r="FV21" s="21"/>
      <c r="FW21" s="21"/>
    </row>
    <row r="22" spans="1:216" s="11" customFormat="1" ht="15">
      <c r="CE22" s="21"/>
      <c r="CF22" s="21"/>
      <c r="CG22" s="21"/>
      <c r="CH22" s="21"/>
      <c r="CI22" s="21"/>
      <c r="CJ22" s="21"/>
      <c r="CK22" s="21"/>
      <c r="CL22" s="21"/>
      <c r="CM22" s="21"/>
      <c r="CN22" s="21"/>
      <c r="CO22" s="21"/>
      <c r="CP22" s="21"/>
      <c r="CQ22" s="21"/>
      <c r="CR22" s="21"/>
      <c r="CS22" s="21"/>
      <c r="CT22" s="21"/>
      <c r="CU22" s="21"/>
      <c r="CV22" s="21"/>
      <c r="CW22" s="21"/>
      <c r="CX22" s="21"/>
      <c r="CZ22" s="23"/>
      <c r="DA22" s="23"/>
      <c r="DB22" s="23"/>
      <c r="DC22" s="23"/>
      <c r="DD22" s="23"/>
      <c r="DE22" s="23"/>
      <c r="DF22" s="23"/>
      <c r="DG22" s="23"/>
      <c r="DH22" s="23"/>
      <c r="DJ22" s="21"/>
      <c r="DK22" s="21"/>
      <c r="DL22" s="21"/>
      <c r="DM22" s="21"/>
      <c r="DN22" s="21"/>
      <c r="DO22" s="21"/>
      <c r="DP22" s="21"/>
      <c r="DQ22" s="21"/>
      <c r="DR22" s="21"/>
      <c r="DS22" s="21"/>
      <c r="EH22" s="21"/>
      <c r="EI22" s="21"/>
      <c r="EJ22" s="21"/>
      <c r="EK22" s="21"/>
      <c r="EL22" s="21"/>
      <c r="EM22" s="21"/>
      <c r="EN22" s="21"/>
      <c r="EO22" s="21"/>
      <c r="EP22" s="21"/>
      <c r="EQ22" s="21"/>
      <c r="ER22" s="21"/>
      <c r="ES22" s="21"/>
      <c r="ET22" s="21"/>
      <c r="FS22" s="21"/>
      <c r="FT22" s="21"/>
      <c r="FU22" s="21"/>
      <c r="FV22" s="21"/>
      <c r="FW22" s="21"/>
    </row>
    <row r="23" spans="1:216" s="11" customFormat="1" ht="15">
      <c r="CE23" s="21"/>
      <c r="CF23" s="21"/>
      <c r="CG23" s="21"/>
      <c r="CH23" s="21"/>
      <c r="CI23" s="21"/>
      <c r="CJ23" s="21"/>
      <c r="CK23" s="21"/>
      <c r="CL23" s="21"/>
      <c r="CM23" s="21"/>
      <c r="CN23" s="21"/>
      <c r="CO23" s="21"/>
      <c r="CP23" s="21"/>
      <c r="CQ23" s="21"/>
      <c r="CR23" s="21"/>
      <c r="CS23" s="21"/>
      <c r="CT23" s="21"/>
      <c r="CU23" s="21"/>
      <c r="CV23" s="21"/>
      <c r="CW23" s="21"/>
      <c r="CX23" s="21"/>
      <c r="CZ23" s="23"/>
      <c r="DA23" s="23"/>
      <c r="DB23" s="23"/>
      <c r="DC23" s="23"/>
      <c r="DD23" s="23"/>
      <c r="DE23" s="23"/>
      <c r="DF23" s="23"/>
      <c r="DG23" s="23"/>
      <c r="DH23" s="23"/>
      <c r="DI23" s="23"/>
      <c r="EH23" s="21"/>
      <c r="EI23" s="21"/>
      <c r="EJ23" s="21"/>
      <c r="EK23" s="21"/>
      <c r="EL23" s="21"/>
      <c r="EM23" s="21"/>
      <c r="EN23" s="21"/>
      <c r="EO23" s="21"/>
      <c r="EP23" s="21"/>
      <c r="EQ23" s="21"/>
      <c r="ER23" s="21"/>
      <c r="ES23" s="21"/>
      <c r="ET23" s="21"/>
      <c r="FS23" s="21"/>
      <c r="FT23" s="21"/>
      <c r="FU23" s="21"/>
      <c r="FV23" s="21"/>
      <c r="FW23" s="21"/>
    </row>
    <row r="24" spans="1:216">
      <c r="BV24" s="11"/>
      <c r="BY24" s="11"/>
      <c r="EB24" s="11"/>
    </row>
    <row r="25" spans="1:216">
      <c r="BV25" s="11"/>
      <c r="BY25" s="11"/>
      <c r="EB25" s="11"/>
    </row>
    <row r="26" spans="1:216">
      <c r="BV26" s="11"/>
      <c r="BY26" s="11"/>
      <c r="EB26" s="11"/>
    </row>
    <row r="27" spans="1:216">
      <c r="BV27" s="11"/>
      <c r="EB27" s="11"/>
    </row>
    <row r="28" spans="1:216">
      <c r="BV28" s="11"/>
      <c r="EB28" s="11"/>
    </row>
    <row r="29" spans="1:216">
      <c r="BV29" s="11"/>
    </row>
    <row r="30" spans="1:216">
      <c r="BV30" s="11"/>
    </row>
  </sheetData>
  <phoneticPr fontId="4"/>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heetViews>
  <sheetFormatPr baseColWidth="12" defaultRowHeight="18" x14ac:dyDescent="0"/>
  <cols>
    <col min="1" max="2" width="12.83203125" style="11"/>
    <col min="3" max="3" width="13.1640625" style="11" customWidth="1"/>
    <col min="4" max="4" width="10.33203125" style="11" customWidth="1"/>
    <col min="5" max="5" width="10.83203125" style="11" customWidth="1"/>
    <col min="6" max="6" width="11.33203125" style="11" customWidth="1"/>
  </cols>
  <sheetData>
    <row r="1" spans="1:6">
      <c r="A1" s="11" t="s">
        <v>630</v>
      </c>
      <c r="D1" s="8"/>
      <c r="E1" s="8"/>
      <c r="F1" s="8"/>
    </row>
    <row r="2" spans="1:6">
      <c r="D2" s="8"/>
      <c r="E2" s="8"/>
      <c r="F2" s="8"/>
    </row>
    <row r="3" spans="1:6">
      <c r="A3" s="102"/>
      <c r="B3" s="102"/>
      <c r="C3" s="102"/>
      <c r="D3" s="103" t="s">
        <v>96</v>
      </c>
      <c r="E3" s="103" t="s">
        <v>118</v>
      </c>
      <c r="F3" s="103" t="s">
        <v>376</v>
      </c>
    </row>
    <row r="4" spans="1:6">
      <c r="A4" s="11" t="s">
        <v>100</v>
      </c>
      <c r="D4" s="8"/>
      <c r="E4" s="8"/>
      <c r="F4" s="8"/>
    </row>
    <row r="5" spans="1:6">
      <c r="B5" s="11" t="s">
        <v>100</v>
      </c>
      <c r="D5" s="8">
        <f>including_derivatives!FG18</f>
        <v>3.6779584195043715</v>
      </c>
      <c r="E5" s="8">
        <f>including_derivatives!FM18</f>
        <v>1.8845511558376187</v>
      </c>
      <c r="F5" s="8">
        <f>including_derivatives!FS18</f>
        <v>1.7934072636667528</v>
      </c>
    </row>
    <row r="6" spans="1:6">
      <c r="C6" s="104" t="s">
        <v>120</v>
      </c>
      <c r="D6" s="8">
        <f>including_derivatives!GJ18</f>
        <v>3.267401331109105</v>
      </c>
      <c r="E6" s="8">
        <f>including_derivatives!GP18</f>
        <v>1.7650570001973942</v>
      </c>
      <c r="F6" s="8">
        <f>including_derivatives!GV18</f>
        <v>1.5023443309117104</v>
      </c>
    </row>
    <row r="7" spans="1:6">
      <c r="B7" s="11" t="s">
        <v>108</v>
      </c>
      <c r="C7" s="104"/>
      <c r="D7" s="8">
        <f>including_derivatives!DJ18</f>
        <v>3.5931440870395068</v>
      </c>
      <c r="E7" s="8">
        <f>including_derivatives!DO18</f>
        <v>1.7659319012525261</v>
      </c>
      <c r="F7" s="8">
        <f>D7-E7</f>
        <v>1.8272121857869807</v>
      </c>
    </row>
    <row r="8" spans="1:6">
      <c r="B8" s="11" t="s">
        <v>507</v>
      </c>
      <c r="C8" s="104"/>
      <c r="D8" s="8">
        <f>including_derivatives!CE18</f>
        <v>0.28827046558014213</v>
      </c>
      <c r="E8" s="8">
        <f>including_derivatives!CL18</f>
        <v>0.32207538770036509</v>
      </c>
      <c r="F8" s="8">
        <f>D8-E8</f>
        <v>-3.3804922120222958E-2</v>
      </c>
    </row>
    <row r="9" spans="1:6">
      <c r="C9" s="104" t="s">
        <v>120</v>
      </c>
      <c r="D9" s="8">
        <f>including_derivatives!EH18</f>
        <v>-0.1222866228151316</v>
      </c>
      <c r="E9" s="8">
        <f>including_derivatives!EO18</f>
        <v>0.20258123206014478</v>
      </c>
      <c r="F9" s="8">
        <f t="shared" ref="F9:F37" si="0">D9-E9</f>
        <v>-0.32486785487527636</v>
      </c>
    </row>
    <row r="10" spans="1:6">
      <c r="C10" s="104"/>
      <c r="D10" s="8"/>
      <c r="E10" s="8"/>
      <c r="F10" s="8"/>
    </row>
    <row r="11" spans="1:6">
      <c r="A11" s="11" t="s">
        <v>377</v>
      </c>
      <c r="C11" s="104"/>
      <c r="D11" s="8"/>
      <c r="E11" s="8"/>
      <c r="F11" s="8"/>
    </row>
    <row r="12" spans="1:6">
      <c r="B12" s="11" t="s">
        <v>100</v>
      </c>
      <c r="C12" s="104"/>
      <c r="D12" s="8">
        <f>FX_effect!FK18</f>
        <v>5.5300556118426067</v>
      </c>
      <c r="E12" s="8">
        <f>FX_effect!FQ18</f>
        <v>10.829115687316792</v>
      </c>
      <c r="F12" s="8">
        <f t="shared" si="0"/>
        <v>-5.299060075474185</v>
      </c>
    </row>
    <row r="13" spans="1:6">
      <c r="C13" s="104" t="s">
        <v>120</v>
      </c>
      <c r="D13" s="8">
        <f>FX_effect!GN18</f>
        <v>4.743370198174329</v>
      </c>
      <c r="E13" s="8">
        <f>FX_effect!GT18</f>
        <v>10.829115687316792</v>
      </c>
      <c r="F13" s="8">
        <f t="shared" si="0"/>
        <v>-6.0857454891424627</v>
      </c>
    </row>
    <row r="14" spans="1:6">
      <c r="B14" s="11" t="s">
        <v>108</v>
      </c>
      <c r="C14" s="104"/>
      <c r="D14" s="8">
        <f>FX_effect!DF18</f>
        <v>7.202637112912452</v>
      </c>
      <c r="E14" s="8">
        <f>FX_effect!DK18</f>
        <v>7.8485124076376325</v>
      </c>
      <c r="F14" s="8">
        <f t="shared" si="0"/>
        <v>-0.64587529472518046</v>
      </c>
    </row>
    <row r="15" spans="1:6">
      <c r="B15" s="11" t="s">
        <v>507</v>
      </c>
      <c r="C15" s="104"/>
      <c r="D15" s="8">
        <f>FX_effect!CD18</f>
        <v>-1.4691253679545695</v>
      </c>
      <c r="E15" s="8">
        <f>FX_effect!CJ18</f>
        <v>3.1840594127944399</v>
      </c>
      <c r="F15" s="8">
        <f t="shared" si="0"/>
        <v>-4.6531847807490099</v>
      </c>
    </row>
    <row r="16" spans="1:6">
      <c r="C16" s="104" t="s">
        <v>120</v>
      </c>
      <c r="D16" s="8">
        <f>FX_effect!EH18</f>
        <v>-2.255810781622849</v>
      </c>
      <c r="E16" s="8">
        <f>FX_effect!EN18</f>
        <v>3.1840594127944399</v>
      </c>
      <c r="F16" s="8">
        <f t="shared" si="0"/>
        <v>-5.4398701944172885</v>
      </c>
    </row>
    <row r="17" spans="1:6">
      <c r="C17" s="104"/>
      <c r="D17" s="8"/>
      <c r="E17" s="8"/>
      <c r="F17" s="8"/>
    </row>
    <row r="18" spans="1:6">
      <c r="A18" s="11" t="s">
        <v>105</v>
      </c>
      <c r="C18" s="104"/>
      <c r="D18" s="8"/>
      <c r="E18" s="8"/>
      <c r="F18" s="8"/>
    </row>
    <row r="19" spans="1:6">
      <c r="B19" s="11" t="s">
        <v>100</v>
      </c>
      <c r="C19" s="104"/>
      <c r="D19" s="8">
        <f>FX_effect!FM18</f>
        <v>5.1765040975885812</v>
      </c>
      <c r="E19" s="8">
        <f>FX_effect!FS18</f>
        <v>0.41294675868965586</v>
      </c>
      <c r="F19" s="8">
        <f t="shared" si="0"/>
        <v>4.7635573388989254</v>
      </c>
    </row>
    <row r="20" spans="1:6">
      <c r="C20" s="104" t="s">
        <v>120</v>
      </c>
      <c r="D20" s="8">
        <f>FX_effect!GP18</f>
        <v>4.474898161523658</v>
      </c>
      <c r="E20" s="8">
        <f>FX_effect!GV18</f>
        <v>0.24013579601077895</v>
      </c>
      <c r="F20" s="8">
        <f t="shared" si="0"/>
        <v>4.2347623655128794</v>
      </c>
    </row>
    <row r="21" spans="1:6">
      <c r="B21" s="11" t="s">
        <v>108</v>
      </c>
      <c r="C21" s="104"/>
      <c r="D21" s="8">
        <f>FX_effect!DH18</f>
        <v>4.8184487126654414</v>
      </c>
      <c r="E21" s="8">
        <f>FX_effect!DM18</f>
        <v>1.9369452858880389</v>
      </c>
      <c r="F21" s="8">
        <f t="shared" si="0"/>
        <v>2.8815034267774022</v>
      </c>
    </row>
    <row r="22" spans="1:6">
      <c r="B22" s="11" t="s">
        <v>507</v>
      </c>
      <c r="C22" s="104"/>
      <c r="D22" s="8">
        <f>FX_effect!CF18</f>
        <v>0.56151151803841048</v>
      </c>
      <c r="E22" s="8">
        <f>FX_effect!CL18</f>
        <v>-1.3205423940831058</v>
      </c>
      <c r="F22" s="8">
        <f t="shared" si="0"/>
        <v>1.8820539121215163</v>
      </c>
    </row>
    <row r="23" spans="1:6">
      <c r="C23" s="104" t="s">
        <v>120</v>
      </c>
      <c r="D23" s="8">
        <f>FX_effect!EJ18</f>
        <v>-0.14009441802651509</v>
      </c>
      <c r="E23" s="8">
        <f>FX_effect!EP18</f>
        <v>-1.4933533567619841</v>
      </c>
      <c r="F23" s="8">
        <f t="shared" si="0"/>
        <v>1.353258938735469</v>
      </c>
    </row>
    <row r="24" spans="1:6">
      <c r="C24" s="104"/>
      <c r="D24" s="8"/>
      <c r="E24" s="8"/>
      <c r="F24" s="8"/>
    </row>
    <row r="25" spans="1:6">
      <c r="A25" s="11" t="s">
        <v>109</v>
      </c>
      <c r="C25" s="104"/>
      <c r="D25" s="8"/>
      <c r="E25" s="8"/>
      <c r="F25" s="8"/>
    </row>
    <row r="26" spans="1:6">
      <c r="B26" s="11" t="s">
        <v>100</v>
      </c>
      <c r="C26" s="104"/>
      <c r="D26" s="8">
        <f>FX_effect!FL18</f>
        <v>11.640164940095959</v>
      </c>
      <c r="E26" s="8">
        <f>FX_effect!FR18</f>
        <v>7.336617134622025</v>
      </c>
      <c r="F26" s="8">
        <f t="shared" si="0"/>
        <v>4.3035478054739338</v>
      </c>
    </row>
    <row r="27" spans="1:6">
      <c r="C27" s="104" t="s">
        <v>120</v>
      </c>
      <c r="D27" s="8">
        <f>FX_effect!GO18</f>
        <v>10.090830324237789</v>
      </c>
      <c r="E27" s="8">
        <f>FX_effect!GU18</f>
        <v>7.336617134622025</v>
      </c>
      <c r="F27" s="8">
        <f t="shared" si="0"/>
        <v>2.754213189615764</v>
      </c>
    </row>
    <row r="28" spans="1:6">
      <c r="B28" s="11" t="s">
        <v>108</v>
      </c>
      <c r="C28" s="104"/>
      <c r="D28" s="8">
        <f>FX_effect!DG18</f>
        <v>6.0435212717545754</v>
      </c>
      <c r="E28" s="8">
        <f>FX_effect!DL18</f>
        <v>1.7569665392787088</v>
      </c>
      <c r="F28" s="8">
        <f t="shared" si="0"/>
        <v>4.2865547324758664</v>
      </c>
    </row>
    <row r="29" spans="1:6">
      <c r="B29" s="11" t="s">
        <v>507</v>
      </c>
      <c r="C29" s="104"/>
      <c r="D29" s="8">
        <f>FX_effect!CE18</f>
        <v>5.8000998014566498</v>
      </c>
      <c r="E29" s="8">
        <f>FX_effect!CK18</f>
        <v>5.7831067284585815</v>
      </c>
      <c r="F29" s="8">
        <f t="shared" si="0"/>
        <v>1.6993072998068293E-2</v>
      </c>
    </row>
    <row r="30" spans="1:6">
      <c r="C30" s="104" t="s">
        <v>120</v>
      </c>
      <c r="D30" s="8">
        <f>FX_effect!EI18</f>
        <v>4.2507651855984783</v>
      </c>
      <c r="E30" s="8">
        <f>FX_effect!EO18</f>
        <v>5.7831067284585815</v>
      </c>
      <c r="F30" s="8">
        <f t="shared" si="0"/>
        <v>-1.5323415428601033</v>
      </c>
    </row>
    <row r="31" spans="1:6">
      <c r="C31" s="104"/>
      <c r="D31" s="8"/>
      <c r="E31" s="8"/>
      <c r="F31" s="8"/>
    </row>
    <row r="32" spans="1:6">
      <c r="A32" s="11" t="s">
        <v>112</v>
      </c>
      <c r="C32" s="104"/>
      <c r="D32" s="8"/>
      <c r="E32" s="8"/>
      <c r="F32" s="8"/>
    </row>
    <row r="33" spans="1:6">
      <c r="B33" s="11" t="s">
        <v>100</v>
      </c>
      <c r="C33" s="104"/>
      <c r="D33" s="8">
        <f>FX_effect!FN18</f>
        <v>3.1029726831509805</v>
      </c>
      <c r="E33" s="8">
        <f>FX_effect!FT18</f>
        <v>3.1527413883486513</v>
      </c>
      <c r="F33" s="8">
        <f t="shared" si="0"/>
        <v>-4.9768705197670737E-2</v>
      </c>
    </row>
    <row r="34" spans="1:6">
      <c r="C34" s="104" t="s">
        <v>120</v>
      </c>
      <c r="D34" s="8">
        <f>FX_effect!GQ18</f>
        <v>3.2242452595656204</v>
      </c>
      <c r="E34" s="8">
        <f>FX_effect!GW18</f>
        <v>3.0914811923851655</v>
      </c>
      <c r="F34" s="8">
        <f t="shared" si="0"/>
        <v>0.13276406718045486</v>
      </c>
    </row>
    <row r="35" spans="1:6">
      <c r="B35" s="11" t="s">
        <v>108</v>
      </c>
      <c r="C35" s="104"/>
      <c r="D35" s="8">
        <f>FX_effect!DI18</f>
        <v>1.7181655138205714</v>
      </c>
      <c r="E35" s="8">
        <f>FX_effect!DN18</f>
        <v>1.2525523228158459</v>
      </c>
      <c r="F35" s="8">
        <f t="shared" si="0"/>
        <v>0.46561319100472542</v>
      </c>
    </row>
    <row r="36" spans="1:6">
      <c r="B36" s="11" t="s">
        <v>507</v>
      </c>
      <c r="C36" s="104"/>
      <c r="D36" s="8">
        <f>FX_effect!CG18</f>
        <v>1.5882633024456803</v>
      </c>
      <c r="E36" s="8">
        <f>FX_effect!CM18</f>
        <v>2.1036451986480826</v>
      </c>
      <c r="F36" s="8">
        <f t="shared" si="0"/>
        <v>-0.51538189620240238</v>
      </c>
    </row>
    <row r="37" spans="1:6">
      <c r="C37" s="104" t="s">
        <v>120</v>
      </c>
      <c r="D37" s="8">
        <f>FX_effect!EK18</f>
        <v>1.7095358788603225</v>
      </c>
      <c r="E37" s="8">
        <f>FX_effect!EQ18</f>
        <v>2.0423850026845902</v>
      </c>
      <c r="F37" s="8">
        <f t="shared" si="0"/>
        <v>-0.33284912382426768</v>
      </c>
    </row>
    <row r="38" spans="1:6">
      <c r="C38" s="104"/>
      <c r="D38" s="8"/>
      <c r="E38" s="8"/>
      <c r="F38" s="8"/>
    </row>
    <row r="39" spans="1:6">
      <c r="A39" s="11" t="s">
        <v>378</v>
      </c>
      <c r="C39" s="104"/>
      <c r="D39" s="8"/>
      <c r="E39" s="8"/>
      <c r="F39" s="8"/>
    </row>
    <row r="40" spans="1:6">
      <c r="B40" s="11" t="s">
        <v>507</v>
      </c>
      <c r="C40" s="104"/>
      <c r="D40" s="8">
        <f>including_derivatives!CI18</f>
        <v>-198.45014084381882</v>
      </c>
      <c r="E40" s="8">
        <f>including_derivatives!CP18</f>
        <v>-172.16348986121577</v>
      </c>
      <c r="F40" s="8">
        <f>D40-E40</f>
        <v>-26.286650982603049</v>
      </c>
    </row>
    <row r="41" spans="1:6">
      <c r="C41" s="104" t="s">
        <v>120</v>
      </c>
      <c r="D41" s="8">
        <f>including_derivatives!EL18</f>
        <v>-198.44608826363654</v>
      </c>
      <c r="E41" s="8">
        <f>including_derivatives!ES18</f>
        <v>-172.16348986121577</v>
      </c>
      <c r="F41" s="8">
        <f>D41-E41</f>
        <v>-26.282598402420774</v>
      </c>
    </row>
    <row r="42" spans="1:6">
      <c r="C42" s="104"/>
      <c r="D42" s="8"/>
      <c r="E42" s="8"/>
      <c r="F42" s="8"/>
    </row>
    <row r="43" spans="1:6">
      <c r="A43" s="11" t="s">
        <v>379</v>
      </c>
      <c r="B43" s="11" t="s">
        <v>507</v>
      </c>
      <c r="C43" s="105"/>
      <c r="D43" s="8">
        <f>FX_effect!FO18</f>
        <v>1.0319630942602924</v>
      </c>
      <c r="E43" s="8"/>
    </row>
    <row r="44" spans="1:6">
      <c r="C44" s="104" t="s">
        <v>120</v>
      </c>
      <c r="D44" s="8">
        <f>FX_effect!GR18</f>
        <v>1.1353459055669055</v>
      </c>
      <c r="E44" s="8"/>
      <c r="F44" s="8"/>
    </row>
    <row r="46" spans="1:6">
      <c r="A46" s="11" t="s">
        <v>488</v>
      </c>
    </row>
    <row r="47" spans="1:6">
      <c r="A47" s="11" t="s">
        <v>518</v>
      </c>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2"/>
  <sheetViews>
    <sheetView workbookViewId="0">
      <selection activeCell="A2" sqref="A2"/>
    </sheetView>
  </sheetViews>
  <sheetFormatPr baseColWidth="12" defaultRowHeight="18" x14ac:dyDescent="0"/>
  <cols>
    <col min="1" max="9" width="12.83203125" style="11"/>
  </cols>
  <sheetData>
    <row r="3" spans="1:8">
      <c r="A3" s="93"/>
      <c r="B3" s="93"/>
      <c r="C3" s="93"/>
      <c r="D3" s="93"/>
      <c r="E3" s="93"/>
      <c r="F3" s="93"/>
      <c r="G3" s="93"/>
      <c r="H3" s="93"/>
    </row>
    <row r="4" spans="1:8">
      <c r="A4" s="93"/>
      <c r="B4" s="93" t="s">
        <v>636</v>
      </c>
      <c r="C4" s="93"/>
      <c r="D4" s="93"/>
      <c r="E4" s="93"/>
      <c r="F4" s="93"/>
      <c r="G4" s="93"/>
      <c r="H4" s="93"/>
    </row>
    <row r="5" spans="1:8">
      <c r="A5" s="93"/>
      <c r="B5" s="93"/>
      <c r="C5" s="93"/>
      <c r="D5" s="93"/>
      <c r="E5" s="93"/>
      <c r="F5" s="93"/>
      <c r="G5" s="93"/>
      <c r="H5" s="93"/>
    </row>
    <row r="6" spans="1:8">
      <c r="A6" s="93"/>
      <c r="B6" s="93"/>
      <c r="C6" s="93"/>
      <c r="D6" s="93"/>
      <c r="E6" s="93"/>
      <c r="F6" s="93"/>
      <c r="G6" s="93"/>
      <c r="H6" s="93"/>
    </row>
    <row r="7" spans="1:8">
      <c r="A7" s="93"/>
      <c r="B7" s="93"/>
      <c r="C7" s="93"/>
      <c r="D7" s="93"/>
      <c r="E7" s="93"/>
      <c r="F7" s="93"/>
      <c r="G7" s="93"/>
      <c r="H7" s="93"/>
    </row>
    <row r="8" spans="1:8">
      <c r="A8" s="93"/>
      <c r="B8" s="93"/>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93"/>
      <c r="B11" s="93"/>
      <c r="C11" s="93"/>
      <c r="D11" s="93"/>
      <c r="E11" s="93"/>
      <c r="F11" s="93"/>
      <c r="G11" s="93"/>
      <c r="H11" s="93"/>
    </row>
    <row r="12" spans="1:8">
      <c r="A12" s="93"/>
      <c r="B12" s="93"/>
      <c r="C12" s="93"/>
      <c r="D12" s="93"/>
      <c r="E12" s="93"/>
      <c r="F12" s="93"/>
      <c r="G12" s="93"/>
      <c r="H12" s="93"/>
    </row>
    <row r="13" spans="1:8">
      <c r="A13" s="93"/>
      <c r="B13" s="93"/>
      <c r="C13" s="93"/>
      <c r="D13" s="93"/>
      <c r="E13" s="93"/>
      <c r="F13" s="93"/>
      <c r="G13" s="93"/>
      <c r="H13" s="93"/>
    </row>
    <row r="14" spans="1:8">
      <c r="A14" s="93"/>
      <c r="B14" s="93"/>
      <c r="C14" s="93"/>
      <c r="D14" s="93"/>
      <c r="E14" s="93"/>
      <c r="F14" s="93"/>
      <c r="G14" s="93"/>
      <c r="H14" s="93"/>
    </row>
    <row r="15" spans="1:8">
      <c r="A15" s="93"/>
      <c r="B15" s="93"/>
      <c r="C15" s="93"/>
      <c r="D15" s="93"/>
      <c r="E15" s="93"/>
      <c r="F15" s="93"/>
      <c r="G15" s="93"/>
      <c r="H15" s="93"/>
    </row>
    <row r="16" spans="1:8">
      <c r="A16" s="93"/>
      <c r="B16" s="93"/>
      <c r="C16" s="93"/>
      <c r="D16" s="93"/>
      <c r="E16" s="93"/>
      <c r="F16" s="93"/>
      <c r="G16" s="93"/>
      <c r="H16" s="93"/>
    </row>
    <row r="17" spans="1:8">
      <c r="A17" s="93"/>
      <c r="B17" s="93" t="s">
        <v>483</v>
      </c>
      <c r="C17" s="93"/>
      <c r="D17" s="93"/>
      <c r="E17" s="93"/>
      <c r="F17" s="93"/>
      <c r="G17" s="93"/>
      <c r="H17" s="93"/>
    </row>
    <row r="18" spans="1:8">
      <c r="A18" s="93"/>
      <c r="B18" s="93"/>
      <c r="C18" s="93"/>
      <c r="D18" s="93"/>
      <c r="E18" s="93"/>
      <c r="F18" s="93"/>
      <c r="G18" s="93"/>
      <c r="H18" s="93"/>
    </row>
    <row r="19" spans="1:8">
      <c r="A19" s="93"/>
      <c r="B19" s="93"/>
      <c r="C19" s="93"/>
      <c r="D19" s="93"/>
      <c r="E19" s="93"/>
      <c r="F19" s="93"/>
      <c r="G19" s="93"/>
      <c r="H19" s="93"/>
    </row>
    <row r="20" spans="1:8">
      <c r="A20" s="93"/>
      <c r="B20" s="93"/>
      <c r="C20" s="93"/>
      <c r="D20" s="93"/>
      <c r="E20" s="93"/>
      <c r="F20" s="93"/>
      <c r="G20" s="93"/>
      <c r="H20" s="93"/>
    </row>
    <row r="21" spans="1:8">
      <c r="A21" s="93"/>
      <c r="B21" s="93"/>
      <c r="C21" s="93"/>
      <c r="D21" s="93"/>
      <c r="E21" s="93"/>
      <c r="F21" s="93"/>
      <c r="G21" s="93"/>
      <c r="H21" s="93"/>
    </row>
    <row r="22" spans="1:8">
      <c r="A22" s="93"/>
      <c r="B22" s="93"/>
      <c r="C22" s="93"/>
      <c r="D22" s="93"/>
      <c r="E22" s="93"/>
      <c r="F22" s="93"/>
      <c r="G22" s="93"/>
      <c r="H22" s="93"/>
    </row>
  </sheetData>
  <phoneticPr fontId="4"/>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A2" sqref="A2"/>
    </sheetView>
  </sheetViews>
  <sheetFormatPr baseColWidth="12" defaultRowHeight="18" x14ac:dyDescent="0"/>
  <cols>
    <col min="1" max="8" width="12.83203125" style="11"/>
  </cols>
  <sheetData>
    <row r="1" spans="1:7">
      <c r="A1" s="93"/>
      <c r="B1" s="93"/>
      <c r="C1" s="93"/>
      <c r="D1" s="93"/>
      <c r="E1" s="93"/>
      <c r="F1" s="93"/>
      <c r="G1" s="93"/>
    </row>
    <row r="2" spans="1:7">
      <c r="A2" s="93"/>
      <c r="B2" s="96" t="s">
        <v>645</v>
      </c>
      <c r="C2" s="93"/>
      <c r="D2" s="93"/>
      <c r="E2" s="93"/>
      <c r="F2" s="93"/>
      <c r="G2" s="93"/>
    </row>
    <row r="3" spans="1:7">
      <c r="A3" s="93"/>
      <c r="B3" s="93" t="s">
        <v>274</v>
      </c>
      <c r="C3" s="93"/>
      <c r="D3" s="93"/>
      <c r="E3" s="93"/>
      <c r="F3" s="93"/>
      <c r="G3" s="93"/>
    </row>
    <row r="4" spans="1:7">
      <c r="A4" s="93"/>
      <c r="B4" s="93"/>
      <c r="C4" s="93"/>
      <c r="D4" s="93"/>
      <c r="E4" s="93"/>
      <c r="F4" s="93"/>
      <c r="G4" s="93"/>
    </row>
    <row r="5" spans="1:7">
      <c r="A5" s="93"/>
      <c r="B5" s="93"/>
      <c r="C5" s="93"/>
      <c r="D5" s="93"/>
      <c r="E5" s="93"/>
      <c r="F5" s="93"/>
      <c r="G5" s="93"/>
    </row>
    <row r="6" spans="1:7">
      <c r="A6" s="93"/>
      <c r="B6" s="93"/>
      <c r="C6" s="93"/>
      <c r="D6" s="93"/>
      <c r="E6" s="93"/>
      <c r="F6" s="93"/>
      <c r="G6" s="93"/>
    </row>
    <row r="7" spans="1:7">
      <c r="A7" s="93"/>
      <c r="B7" s="93"/>
      <c r="C7" s="93"/>
      <c r="D7" s="93"/>
      <c r="E7" s="93"/>
      <c r="F7" s="93"/>
      <c r="G7" s="93"/>
    </row>
    <row r="8" spans="1:7">
      <c r="A8" s="93"/>
      <c r="B8" s="93"/>
      <c r="C8" s="93"/>
      <c r="D8" s="93"/>
      <c r="E8" s="93"/>
      <c r="F8" s="93"/>
      <c r="G8" s="93"/>
    </row>
    <row r="9" spans="1:7">
      <c r="A9" s="93"/>
      <c r="B9" s="93"/>
      <c r="C9" s="93"/>
      <c r="D9" s="93"/>
      <c r="E9" s="93"/>
      <c r="F9" s="93"/>
      <c r="G9" s="93"/>
    </row>
    <row r="10" spans="1:7">
      <c r="A10" s="93"/>
      <c r="B10" s="93"/>
      <c r="C10" s="93"/>
      <c r="D10" s="93"/>
      <c r="E10" s="93"/>
      <c r="F10" s="93"/>
      <c r="G10" s="93"/>
    </row>
    <row r="11" spans="1:7">
      <c r="A11" s="93"/>
      <c r="B11" s="93"/>
      <c r="C11" s="93"/>
      <c r="D11" s="93"/>
      <c r="E11" s="93"/>
      <c r="F11" s="93"/>
      <c r="G11" s="93"/>
    </row>
    <row r="12" spans="1:7">
      <c r="A12" s="93"/>
      <c r="B12" s="93"/>
      <c r="C12" s="93"/>
      <c r="D12" s="93"/>
      <c r="E12" s="93"/>
      <c r="F12" s="93"/>
      <c r="G12" s="93"/>
    </row>
    <row r="13" spans="1:7">
      <c r="A13" s="93"/>
      <c r="B13" s="93"/>
      <c r="C13" s="93"/>
      <c r="D13" s="93"/>
      <c r="E13" s="93"/>
      <c r="F13" s="93"/>
      <c r="G13" s="93"/>
    </row>
    <row r="14" spans="1:7">
      <c r="A14" s="93"/>
      <c r="B14" s="93"/>
      <c r="C14" s="93"/>
      <c r="D14" s="93"/>
      <c r="E14" s="93"/>
      <c r="F14" s="93"/>
      <c r="G14" s="93"/>
    </row>
    <row r="15" spans="1:7">
      <c r="A15" s="93"/>
      <c r="B15" s="93"/>
      <c r="C15" s="93"/>
      <c r="D15" s="93"/>
      <c r="E15" s="93"/>
      <c r="F15" s="93"/>
      <c r="G15" s="93"/>
    </row>
    <row r="16" spans="1:7">
      <c r="A16" s="93"/>
      <c r="B16" s="93"/>
      <c r="C16" s="93"/>
      <c r="D16" s="93"/>
      <c r="E16" s="93"/>
      <c r="F16" s="93"/>
      <c r="G16" s="93"/>
    </row>
    <row r="17" spans="1:7">
      <c r="A17" s="93"/>
      <c r="B17" s="93" t="s">
        <v>275</v>
      </c>
      <c r="C17" s="93"/>
      <c r="D17" s="93"/>
      <c r="E17" s="93"/>
      <c r="F17" s="93"/>
      <c r="G17" s="93"/>
    </row>
    <row r="18" spans="1:7">
      <c r="A18" s="93"/>
      <c r="B18" s="93"/>
      <c r="C18" s="93"/>
      <c r="D18" s="93"/>
      <c r="E18" s="93"/>
      <c r="F18" s="93"/>
      <c r="G18" s="93"/>
    </row>
    <row r="19" spans="1:7">
      <c r="A19" s="93"/>
      <c r="B19" s="93"/>
      <c r="C19" s="93"/>
      <c r="D19" s="93"/>
      <c r="E19" s="93"/>
      <c r="F19" s="93"/>
      <c r="G19" s="93"/>
    </row>
    <row r="20" spans="1:7">
      <c r="A20" s="93"/>
      <c r="B20" s="93"/>
      <c r="C20" s="93"/>
      <c r="D20" s="93"/>
      <c r="E20" s="93"/>
      <c r="F20" s="93"/>
      <c r="G20" s="93"/>
    </row>
    <row r="21" spans="1:7">
      <c r="A21" s="93"/>
      <c r="B21" s="93"/>
      <c r="C21" s="93"/>
      <c r="D21" s="93"/>
      <c r="E21" s="93"/>
      <c r="F21" s="93"/>
      <c r="G21" s="93"/>
    </row>
    <row r="22" spans="1:7">
      <c r="A22" s="93"/>
      <c r="B22" s="93"/>
      <c r="C22" s="93"/>
      <c r="D22" s="93"/>
      <c r="E22" s="93"/>
      <c r="F22" s="93"/>
      <c r="G22" s="93"/>
    </row>
    <row r="23" spans="1:7">
      <c r="A23" s="93"/>
      <c r="B23" s="93"/>
      <c r="C23" s="93"/>
      <c r="D23" s="93"/>
      <c r="E23" s="93"/>
      <c r="F23" s="93"/>
      <c r="G23" s="93"/>
    </row>
    <row r="24" spans="1:7">
      <c r="A24" s="93"/>
      <c r="B24" s="93"/>
      <c r="C24" s="93"/>
      <c r="D24" s="93"/>
      <c r="E24" s="93"/>
      <c r="F24" s="93"/>
      <c r="G24" s="93"/>
    </row>
    <row r="25" spans="1:7">
      <c r="A25" s="93"/>
      <c r="B25" s="93"/>
      <c r="C25" s="93"/>
      <c r="D25" s="93"/>
      <c r="E25" s="93"/>
      <c r="F25" s="93"/>
      <c r="G25" s="93"/>
    </row>
    <row r="26" spans="1:7">
      <c r="A26" s="93"/>
      <c r="B26" s="93"/>
      <c r="C26" s="93"/>
      <c r="D26" s="93"/>
      <c r="E26" s="93"/>
      <c r="F26" s="93"/>
      <c r="G26" s="93"/>
    </row>
    <row r="27" spans="1:7">
      <c r="A27" s="93"/>
      <c r="B27" s="93"/>
      <c r="C27" s="93"/>
      <c r="D27" s="93"/>
      <c r="E27" s="93"/>
      <c r="F27" s="93"/>
      <c r="G27" s="93"/>
    </row>
    <row r="28" spans="1:7">
      <c r="A28" s="93"/>
      <c r="B28" s="93"/>
      <c r="C28" s="93"/>
      <c r="D28" s="93"/>
      <c r="E28" s="93"/>
      <c r="F28" s="93"/>
      <c r="G28" s="93"/>
    </row>
    <row r="29" spans="1:7">
      <c r="A29" s="93"/>
      <c r="B29" s="93"/>
      <c r="C29" s="93"/>
      <c r="D29" s="93"/>
      <c r="E29" s="93"/>
      <c r="F29" s="93"/>
      <c r="G29" s="93"/>
    </row>
    <row r="30" spans="1:7">
      <c r="A30" s="93"/>
      <c r="B30" s="93"/>
      <c r="C30" s="93"/>
      <c r="D30" s="93"/>
      <c r="E30" s="93"/>
      <c r="F30" s="93"/>
      <c r="G30" s="93"/>
    </row>
    <row r="31" spans="1:7">
      <c r="A31" s="93"/>
      <c r="B31" s="97" t="s">
        <v>276</v>
      </c>
      <c r="C31" s="93"/>
      <c r="D31" s="93"/>
      <c r="E31" s="93"/>
      <c r="F31" s="93"/>
      <c r="G31" s="93"/>
    </row>
    <row r="32" spans="1:7">
      <c r="A32" s="93"/>
      <c r="B32" s="97" t="s">
        <v>646</v>
      </c>
      <c r="C32" s="93"/>
      <c r="D32" s="93"/>
      <c r="E32" s="93"/>
      <c r="F32" s="93"/>
      <c r="G32" s="93"/>
    </row>
    <row r="33" spans="1:7">
      <c r="A33" s="93"/>
      <c r="B33" s="93"/>
      <c r="C33" s="93"/>
      <c r="D33" s="93"/>
      <c r="E33" s="93"/>
      <c r="F33" s="93"/>
      <c r="G33" s="93"/>
    </row>
  </sheetData>
  <phoneticPr fontId="4"/>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0"/>
  <sheetViews>
    <sheetView workbookViewId="0">
      <selection activeCell="A2" sqref="A2"/>
    </sheetView>
  </sheetViews>
  <sheetFormatPr baseColWidth="12" defaultRowHeight="18" x14ac:dyDescent="0"/>
  <cols>
    <col min="1" max="9" width="12.83203125" style="11"/>
  </cols>
  <sheetData>
    <row r="2" spans="1:8">
      <c r="A2" s="93"/>
      <c r="B2" s="98"/>
      <c r="C2" s="93"/>
      <c r="D2" s="93"/>
      <c r="E2" s="93"/>
      <c r="F2" s="93"/>
      <c r="G2" s="93"/>
      <c r="H2" s="93"/>
    </row>
    <row r="3" spans="1:8">
      <c r="A3" s="93"/>
      <c r="B3" s="99" t="s">
        <v>642</v>
      </c>
      <c r="C3" s="93"/>
      <c r="D3" s="93"/>
      <c r="E3" s="93"/>
      <c r="F3" s="93"/>
      <c r="G3" s="93"/>
      <c r="H3" s="93"/>
    </row>
    <row r="4" spans="1:8">
      <c r="A4" s="93"/>
      <c r="B4" s="100"/>
      <c r="C4" s="93"/>
      <c r="D4" s="93"/>
      <c r="E4" s="93"/>
      <c r="F4" s="93"/>
      <c r="G4" s="93"/>
      <c r="H4" s="93"/>
    </row>
    <row r="5" spans="1:8">
      <c r="A5" s="93"/>
      <c r="B5" s="98"/>
      <c r="C5" s="93"/>
      <c r="D5" s="93"/>
      <c r="E5" s="93"/>
      <c r="F5" s="93"/>
      <c r="G5" s="93"/>
      <c r="H5" s="93"/>
    </row>
    <row r="6" spans="1:8">
      <c r="A6" s="93"/>
      <c r="B6" s="98"/>
      <c r="C6" s="93"/>
      <c r="D6" s="93"/>
      <c r="E6" s="93"/>
      <c r="F6" s="93"/>
      <c r="G6" s="93"/>
      <c r="H6" s="93"/>
    </row>
    <row r="7" spans="1:8">
      <c r="A7" s="93"/>
      <c r="B7" s="98"/>
      <c r="C7" s="93"/>
      <c r="D7" s="93"/>
      <c r="E7" s="93"/>
      <c r="F7" s="93"/>
      <c r="G7" s="93"/>
      <c r="H7" s="93"/>
    </row>
    <row r="8" spans="1:8">
      <c r="A8" s="93"/>
      <c r="B8" s="98"/>
      <c r="C8" s="93"/>
      <c r="D8" s="93"/>
      <c r="E8" s="93"/>
      <c r="F8" s="93"/>
      <c r="G8" s="93"/>
      <c r="H8" s="93"/>
    </row>
    <row r="9" spans="1:8">
      <c r="A9" s="93"/>
      <c r="B9" s="98"/>
      <c r="C9" s="93"/>
      <c r="D9" s="93"/>
      <c r="E9" s="93"/>
      <c r="F9" s="93"/>
      <c r="G9" s="93"/>
      <c r="H9" s="93"/>
    </row>
    <row r="10" spans="1:8">
      <c r="A10" s="93"/>
      <c r="B10" s="98"/>
      <c r="C10" s="93"/>
      <c r="D10" s="93"/>
      <c r="E10" s="93"/>
      <c r="F10" s="93"/>
      <c r="G10" s="93"/>
      <c r="H10" s="93"/>
    </row>
    <row r="11" spans="1:8">
      <c r="A11" s="93"/>
      <c r="B11" s="98"/>
      <c r="C11" s="93"/>
      <c r="D11" s="93"/>
      <c r="E11" s="93"/>
      <c r="F11" s="93"/>
      <c r="G11" s="93"/>
      <c r="H11" s="93"/>
    </row>
    <row r="12" spans="1:8">
      <c r="A12" s="93"/>
      <c r="B12" s="98"/>
      <c r="C12" s="93"/>
      <c r="D12" s="93"/>
      <c r="E12" s="93"/>
      <c r="F12" s="93"/>
      <c r="G12" s="93"/>
      <c r="H12" s="93"/>
    </row>
    <row r="13" spans="1:8">
      <c r="A13" s="93"/>
      <c r="B13" s="98"/>
      <c r="C13" s="93"/>
      <c r="D13" s="93"/>
      <c r="E13" s="93"/>
      <c r="F13" s="93"/>
      <c r="G13" s="93"/>
      <c r="H13" s="93"/>
    </row>
    <row r="14" spans="1:8">
      <c r="A14" s="93"/>
      <c r="B14" s="98"/>
      <c r="C14" s="93"/>
      <c r="D14" s="93"/>
      <c r="E14" s="93"/>
      <c r="F14" s="93"/>
      <c r="G14" s="93"/>
      <c r="H14" s="93"/>
    </row>
    <row r="15" spans="1:8">
      <c r="A15" s="93"/>
      <c r="B15" s="98"/>
      <c r="C15" s="93"/>
      <c r="D15" s="93"/>
      <c r="E15" s="93"/>
      <c r="F15" s="93"/>
      <c r="G15" s="93"/>
      <c r="H15" s="93"/>
    </row>
    <row r="16" spans="1:8">
      <c r="A16" s="93"/>
      <c r="B16" s="98"/>
      <c r="C16" s="93"/>
      <c r="D16" s="93"/>
      <c r="E16" s="93"/>
      <c r="F16" s="93"/>
      <c r="G16" s="93"/>
      <c r="H16" s="93"/>
    </row>
    <row r="17" spans="1:8">
      <c r="A17" s="93"/>
      <c r="B17" s="101" t="s">
        <v>512</v>
      </c>
      <c r="C17" s="93"/>
      <c r="D17" s="93"/>
      <c r="E17" s="93"/>
      <c r="F17" s="93"/>
      <c r="G17" s="93"/>
      <c r="H17" s="93"/>
    </row>
    <row r="18" spans="1:8">
      <c r="A18" s="93"/>
      <c r="B18" s="98"/>
      <c r="C18" s="93"/>
      <c r="D18" s="93"/>
      <c r="E18" s="93"/>
      <c r="F18" s="93"/>
      <c r="G18" s="93"/>
      <c r="H18" s="93"/>
    </row>
    <row r="19" spans="1:8">
      <c r="A19" s="93"/>
      <c r="B19" s="98"/>
      <c r="C19" s="93"/>
      <c r="D19" s="93"/>
      <c r="E19" s="93"/>
      <c r="F19" s="93"/>
      <c r="G19" s="93"/>
      <c r="H19" s="93"/>
    </row>
    <row r="20" spans="1:8">
      <c r="A20" s="93"/>
      <c r="B20" s="93"/>
      <c r="C20" s="93"/>
      <c r="D20" s="93"/>
      <c r="E20" s="93"/>
      <c r="F20" s="93"/>
      <c r="G20" s="93"/>
      <c r="H20" s="93"/>
    </row>
  </sheetData>
  <phoneticPr fontId="4"/>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heetViews>
  <sheetFormatPr baseColWidth="12" defaultRowHeight="18" x14ac:dyDescent="0"/>
  <cols>
    <col min="1" max="1" width="12.83203125" style="11"/>
    <col min="2" max="2" width="27.5" style="11" customWidth="1"/>
    <col min="3" max="3" width="9.1640625" style="11" customWidth="1"/>
    <col min="4" max="4" width="10.1640625" style="11" customWidth="1"/>
    <col min="5" max="5" width="10.6640625" style="11" customWidth="1"/>
    <col min="6" max="6" width="7.1640625" style="11" customWidth="1"/>
    <col min="7" max="8" width="12.83203125" style="11"/>
  </cols>
  <sheetData>
    <row r="1" spans="1:8">
      <c r="A1" s="11" t="s">
        <v>626</v>
      </c>
      <c r="C1" s="8"/>
      <c r="D1" s="8"/>
      <c r="E1" s="8"/>
    </row>
    <row r="2" spans="1:8">
      <c r="C2" s="8"/>
      <c r="D2" s="8"/>
      <c r="E2" s="8"/>
      <c r="G2" s="130" t="s">
        <v>163</v>
      </c>
      <c r="H2" s="130"/>
    </row>
    <row r="3" spans="1:8" ht="19" customHeight="1">
      <c r="A3" s="102"/>
      <c r="B3" s="102"/>
      <c r="C3" s="103" t="s">
        <v>96</v>
      </c>
      <c r="D3" s="103" t="s">
        <v>97</v>
      </c>
      <c r="E3" s="103" t="s">
        <v>98</v>
      </c>
      <c r="G3" s="131" t="s">
        <v>164</v>
      </c>
      <c r="H3" s="131" t="s">
        <v>165</v>
      </c>
    </row>
    <row r="4" spans="1:8">
      <c r="A4" s="11" t="s">
        <v>100</v>
      </c>
      <c r="C4" s="8"/>
      <c r="D4" s="8"/>
      <c r="E4" s="8"/>
      <c r="G4" s="132"/>
      <c r="H4" s="130"/>
    </row>
    <row r="5" spans="1:8">
      <c r="B5" s="11" t="s">
        <v>101</v>
      </c>
      <c r="C5" s="8">
        <f>Total_return!Z23</f>
        <v>4.1702356918544252</v>
      </c>
      <c r="D5" s="8">
        <f>Total_return!AE23</f>
        <v>3.1197302552146926</v>
      </c>
      <c r="E5" s="8">
        <f>C5-D5</f>
        <v>1.0505054366397326</v>
      </c>
      <c r="G5" s="8">
        <f>Composition_effect!BM23+Composition_effect!BY23</f>
        <v>1.4108877083551741</v>
      </c>
      <c r="H5" s="8">
        <f>H6+H7</f>
        <v>-0.36038227171544462</v>
      </c>
    </row>
    <row r="6" spans="1:8">
      <c r="B6" s="11" t="s">
        <v>102</v>
      </c>
      <c r="C6" s="8">
        <f>yield!O23</f>
        <v>3.5924457375105145</v>
      </c>
      <c r="D6" s="8">
        <f>yield!T23</f>
        <v>1.9278397177999347</v>
      </c>
      <c r="E6" s="8">
        <f t="shared" ref="E6:E27" si="0">C6-D6</f>
        <v>1.6646060197105799</v>
      </c>
      <c r="G6" s="8">
        <f>Composition_effect!BM23</f>
        <v>1.1790270348443368</v>
      </c>
      <c r="H6" s="8">
        <f>Composition_effect!BS23</f>
        <v>0.48557898486624013</v>
      </c>
    </row>
    <row r="7" spans="1:8">
      <c r="B7" s="11" t="s">
        <v>504</v>
      </c>
      <c r="C7" s="8">
        <f>'Stock-flow'!H23</f>
        <v>0.63952367960997847</v>
      </c>
      <c r="D7" s="8">
        <f>'Stock-flow'!I23</f>
        <v>1.2536242626808258</v>
      </c>
      <c r="E7" s="8">
        <f t="shared" si="0"/>
        <v>-0.61410058307084736</v>
      </c>
      <c r="G7" s="8">
        <f>Composition_effect!BY23</f>
        <v>0.2318606735108372</v>
      </c>
      <c r="H7" s="8">
        <f>Composition_effect!CE23</f>
        <v>-0.84596125658168475</v>
      </c>
    </row>
    <row r="8" spans="1:8">
      <c r="C8" s="8"/>
      <c r="D8" s="8"/>
      <c r="E8" s="8"/>
    </row>
    <row r="9" spans="1:8">
      <c r="A9" s="11" t="s">
        <v>103</v>
      </c>
      <c r="C9" s="8"/>
      <c r="D9" s="8"/>
      <c r="E9" s="8"/>
    </row>
    <row r="10" spans="1:8">
      <c r="B10" s="11" t="s">
        <v>104</v>
      </c>
      <c r="C10" s="8">
        <f>Total_return!AA23</f>
        <v>4.3214564371007524</v>
      </c>
      <c r="D10" s="8">
        <f>Total_return!AF23</f>
        <v>9.1394019784668252</v>
      </c>
      <c r="E10" s="8">
        <f t="shared" si="0"/>
        <v>-4.8179455413660728</v>
      </c>
    </row>
    <row r="11" spans="1:8">
      <c r="B11" s="11" t="s">
        <v>102</v>
      </c>
      <c r="C11" s="8">
        <f>yield!P23</f>
        <v>6.4046826184020809</v>
      </c>
      <c r="D11" s="8">
        <f>yield!U23</f>
        <v>8.3117879535630799</v>
      </c>
      <c r="E11" s="8">
        <f t="shared" si="0"/>
        <v>-1.907105335160999</v>
      </c>
    </row>
    <row r="12" spans="1:8">
      <c r="B12" s="11" t="s">
        <v>504</v>
      </c>
      <c r="C12" s="8">
        <f>'Stock-flow'!S23</f>
        <v>-2.0214924560352592</v>
      </c>
      <c r="D12" s="8">
        <f>'Stock-flow'!T23</f>
        <v>0.88934775016981638</v>
      </c>
      <c r="E12" s="8">
        <f t="shared" si="0"/>
        <v>-2.9108402062050756</v>
      </c>
    </row>
    <row r="13" spans="1:8">
      <c r="C13" s="8"/>
      <c r="D13" s="8"/>
      <c r="E13" s="8"/>
    </row>
    <row r="14" spans="1:8">
      <c r="A14" s="11" t="s">
        <v>106</v>
      </c>
      <c r="C14" s="8"/>
      <c r="D14" s="8"/>
      <c r="E14" s="8"/>
    </row>
    <row r="15" spans="1:8">
      <c r="B15" s="11" t="s">
        <v>107</v>
      </c>
      <c r="C15" s="8">
        <f>Total_return!AC23</f>
        <v>5.8368024750361069</v>
      </c>
      <c r="D15" s="8">
        <f>Total_return!AH23</f>
        <v>0.38070240341559691</v>
      </c>
      <c r="E15" s="8">
        <f t="shared" si="0"/>
        <v>5.4561000716205097</v>
      </c>
    </row>
    <row r="16" spans="1:8">
      <c r="B16" s="11" t="s">
        <v>108</v>
      </c>
      <c r="C16" s="8">
        <f>yield!R23</f>
        <v>5.1571385556240941</v>
      </c>
      <c r="D16" s="8">
        <f>yield!W23</f>
        <v>2.51762739409953</v>
      </c>
      <c r="E16" s="8">
        <f t="shared" si="0"/>
        <v>2.6395111615245641</v>
      </c>
    </row>
    <row r="17" spans="1:5">
      <c r="B17" s="11" t="s">
        <v>504</v>
      </c>
      <c r="C17" s="8">
        <f>'Stock-flow'!AO23</f>
        <v>0.74139764467809077</v>
      </c>
      <c r="D17" s="8">
        <f>'Stock-flow'!AP23</f>
        <v>-2.075191265417855</v>
      </c>
      <c r="E17" s="8">
        <f t="shared" si="0"/>
        <v>2.8165889100959456</v>
      </c>
    </row>
    <row r="18" spans="1:5">
      <c r="C18" s="8"/>
      <c r="D18" s="8"/>
      <c r="E18" s="8"/>
    </row>
    <row r="19" spans="1:5">
      <c r="A19" s="11" t="s">
        <v>110</v>
      </c>
      <c r="C19" s="8"/>
      <c r="D19" s="8"/>
      <c r="E19" s="8"/>
    </row>
    <row r="20" spans="1:5">
      <c r="B20" s="11" t="s">
        <v>111</v>
      </c>
      <c r="C20" s="8">
        <f>Total_return!AB23</f>
        <v>10.890798669363893</v>
      </c>
      <c r="D20" s="8">
        <f>Total_return!AG23</f>
        <v>8.8002494104296716</v>
      </c>
      <c r="E20" s="8">
        <f t="shared" si="0"/>
        <v>2.0905492589342209</v>
      </c>
    </row>
    <row r="21" spans="1:5">
      <c r="B21" s="11" t="s">
        <v>108</v>
      </c>
      <c r="C21" s="8">
        <f>yield!Q23</f>
        <v>5.2110363084096001</v>
      </c>
      <c r="D21" s="8">
        <f>yield!V23</f>
        <v>1.3326401838192696</v>
      </c>
      <c r="E21" s="8">
        <f t="shared" si="0"/>
        <v>3.8783961245903305</v>
      </c>
    </row>
    <row r="22" spans="1:5">
      <c r="B22" s="11" t="s">
        <v>504</v>
      </c>
      <c r="C22" s="8">
        <f>'Stock-flow'!AD23</f>
        <v>5.7414960862203657</v>
      </c>
      <c r="D22" s="8">
        <f>'Stock-flow'!AE23</f>
        <v>7.5293429518764725</v>
      </c>
      <c r="E22" s="8">
        <f t="shared" si="0"/>
        <v>-1.7878468656561068</v>
      </c>
    </row>
    <row r="23" spans="1:5">
      <c r="C23" s="8"/>
      <c r="D23" s="8"/>
      <c r="E23" s="8"/>
    </row>
    <row r="24" spans="1:5">
      <c r="A24" s="11" t="s">
        <v>113</v>
      </c>
      <c r="C24" s="8"/>
      <c r="D24" s="8"/>
      <c r="E24" s="8"/>
    </row>
    <row r="25" spans="1:5">
      <c r="B25" s="11" t="s">
        <v>114</v>
      </c>
      <c r="C25" s="8">
        <f>Total_return!AD23</f>
        <v>2.2059937860200884</v>
      </c>
      <c r="D25" s="8">
        <f>Total_return!AI23</f>
        <v>3.3731074033520008</v>
      </c>
      <c r="E25" s="8">
        <f t="shared" si="0"/>
        <v>-1.1671136173319123</v>
      </c>
    </row>
    <row r="26" spans="1:5">
      <c r="B26" s="11" t="s">
        <v>108</v>
      </c>
      <c r="C26" s="8">
        <f>yield!S23</f>
        <v>1.9338804361824755</v>
      </c>
      <c r="D26" s="8">
        <f>yield!X23</f>
        <v>1.5644472313524347</v>
      </c>
      <c r="E26" s="8">
        <f t="shared" si="0"/>
        <v>0.36943320483004083</v>
      </c>
    </row>
    <row r="27" spans="1:5">
      <c r="B27" s="11" t="s">
        <v>504</v>
      </c>
      <c r="C27" s="8">
        <f>'Stock-flow'!AZ23</f>
        <v>0.33384707510368633</v>
      </c>
      <c r="D27" s="8">
        <f>'Stock-flow'!BA23</f>
        <v>1.8703938972656406</v>
      </c>
      <c r="E27" s="8">
        <f t="shared" si="0"/>
        <v>-1.5365468221619543</v>
      </c>
    </row>
    <row r="28" spans="1:5">
      <c r="C28" s="8"/>
      <c r="D28" s="8"/>
      <c r="E28" s="8"/>
    </row>
    <row r="29" spans="1:5">
      <c r="A29" s="11" t="s">
        <v>116</v>
      </c>
      <c r="B29" s="11" t="s">
        <v>504</v>
      </c>
      <c r="C29" s="8">
        <f>'Stock-flow'!BG23</f>
        <v>1.8167922706582063</v>
      </c>
      <c r="D29" s="8"/>
      <c r="E29" s="8"/>
    </row>
    <row r="30" spans="1:5">
      <c r="C30" s="8"/>
      <c r="D30" s="8"/>
      <c r="E30" s="8"/>
    </row>
    <row r="31" spans="1:5">
      <c r="A31" s="11" t="s">
        <v>506</v>
      </c>
      <c r="C31" s="8"/>
      <c r="D31" s="8"/>
      <c r="E31" s="8"/>
    </row>
    <row r="32" spans="1:5">
      <c r="A32" s="11" t="s">
        <v>505</v>
      </c>
      <c r="C32" s="8"/>
      <c r="D32" s="8"/>
      <c r="E32" s="8"/>
    </row>
    <row r="33" spans="1:5">
      <c r="B33" s="11" t="s">
        <v>108</v>
      </c>
      <c r="C33" s="8">
        <f>yield!AJ23</f>
        <v>1.2308662168913163</v>
      </c>
      <c r="D33" s="8"/>
      <c r="E33" s="8"/>
    </row>
    <row r="35" spans="1:5">
      <c r="A35" s="11" t="s">
        <v>503</v>
      </c>
    </row>
    <row r="36" spans="1:5">
      <c r="A36" s="11" t="s">
        <v>509</v>
      </c>
    </row>
    <row r="37" spans="1:5">
      <c r="A37" s="11" t="s">
        <v>513</v>
      </c>
    </row>
    <row r="38" spans="1:5">
      <c r="A38" s="11" t="s">
        <v>514</v>
      </c>
    </row>
    <row r="39" spans="1:5">
      <c r="A39" s="11" t="s">
        <v>126</v>
      </c>
    </row>
    <row r="40" spans="1:5">
      <c r="A40" s="11" t="s">
        <v>522</v>
      </c>
    </row>
  </sheetData>
  <mergeCells count="3">
    <mergeCell ref="G2:H2"/>
    <mergeCell ref="G3:G4"/>
    <mergeCell ref="H3:H4"/>
  </mergeCells>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heetViews>
  <sheetFormatPr baseColWidth="12" defaultRowHeight="18" x14ac:dyDescent="0"/>
  <cols>
    <col min="1" max="2" width="12.83203125" style="11"/>
    <col min="3" max="3" width="13" style="11" customWidth="1"/>
    <col min="4" max="4" width="8.83203125" style="11" customWidth="1"/>
    <col min="5" max="5" width="10.33203125" style="11" customWidth="1"/>
    <col min="6" max="6" width="10.5" style="11" customWidth="1"/>
  </cols>
  <sheetData>
    <row r="1" spans="1:6">
      <c r="A1" s="11" t="s">
        <v>627</v>
      </c>
      <c r="D1" s="8"/>
      <c r="E1" s="8"/>
      <c r="F1" s="8"/>
    </row>
    <row r="2" spans="1:6">
      <c r="D2" s="8"/>
      <c r="E2" s="8"/>
      <c r="F2" s="8"/>
    </row>
    <row r="3" spans="1:6">
      <c r="A3" s="102"/>
      <c r="B3" s="102"/>
      <c r="C3" s="102"/>
      <c r="D3" s="103" t="s">
        <v>117</v>
      </c>
      <c r="E3" s="103" t="s">
        <v>118</v>
      </c>
      <c r="F3" s="103" t="s">
        <v>119</v>
      </c>
    </row>
    <row r="4" spans="1:6">
      <c r="A4" s="11" t="s">
        <v>100</v>
      </c>
      <c r="D4" s="8"/>
      <c r="E4" s="8"/>
      <c r="F4" s="8"/>
    </row>
    <row r="5" spans="1:6">
      <c r="B5" s="11" t="s">
        <v>101</v>
      </c>
      <c r="D5" s="8">
        <f>FX_effect!FJ18</f>
        <v>4.4032526111906565</v>
      </c>
      <c r="E5" s="8">
        <f>FX_effect!FP18</f>
        <v>3.1807392462310626</v>
      </c>
      <c r="F5" s="8">
        <f>D5-E5</f>
        <v>1.2225133649595938</v>
      </c>
    </row>
    <row r="6" spans="1:6">
      <c r="C6" s="104" t="s">
        <v>120</v>
      </c>
      <c r="D6" s="8">
        <f>FX_effect!GM18</f>
        <v>3.991482674323048</v>
      </c>
      <c r="E6" s="8">
        <f>FX_effect!GS18</f>
        <v>3.0587008757267009</v>
      </c>
      <c r="F6" s="8">
        <f>D6-E6</f>
        <v>0.93278179859634713</v>
      </c>
    </row>
    <row r="7" spans="1:6">
      <c r="B7" s="11" t="s">
        <v>102</v>
      </c>
      <c r="C7" s="104"/>
      <c r="D7" s="8">
        <f>FX_effect!DE18</f>
        <v>3.6107756612416901</v>
      </c>
      <c r="E7" s="8">
        <f>FX_effect!DJ18</f>
        <v>1.7827850319211473</v>
      </c>
      <c r="F7" s="8">
        <f>D7-E7</f>
        <v>1.8279906293205428</v>
      </c>
    </row>
    <row r="8" spans="1:6">
      <c r="B8" s="11" t="s">
        <v>504</v>
      </c>
      <c r="C8" s="104"/>
      <c r="D8" s="8">
        <f>FX_effect!CC18</f>
        <v>0.99593308306423523</v>
      </c>
      <c r="E8" s="8">
        <f>FX_effect!CI18</f>
        <v>1.6014103474251891</v>
      </c>
      <c r="F8" s="8">
        <f t="shared" ref="F8:F37" si="0">D8-E8</f>
        <v>-0.60547726436095384</v>
      </c>
    </row>
    <row r="9" spans="1:6">
      <c r="C9" s="104" t="s">
        <v>120</v>
      </c>
      <c r="D9" s="8">
        <f>FX_effect!EG18</f>
        <v>0.58416314619663412</v>
      </c>
      <c r="E9" s="8">
        <f>FX_effect!EM18</f>
        <v>1.4793719769208293</v>
      </c>
      <c r="F9" s="8">
        <f t="shared" si="0"/>
        <v>-0.89520883072419521</v>
      </c>
    </row>
    <row r="10" spans="1:6">
      <c r="C10" s="104"/>
      <c r="D10" s="8"/>
      <c r="E10" s="8"/>
      <c r="F10" s="8"/>
    </row>
    <row r="11" spans="1:6">
      <c r="A11" s="11" t="s">
        <v>103</v>
      </c>
      <c r="C11" s="104"/>
      <c r="D11" s="8"/>
      <c r="E11" s="8"/>
      <c r="F11" s="8"/>
    </row>
    <row r="12" spans="1:6">
      <c r="B12" s="11" t="s">
        <v>104</v>
      </c>
      <c r="C12" s="104"/>
      <c r="D12" s="8">
        <f>FX_effect!FK18</f>
        <v>5.5300556118426067</v>
      </c>
      <c r="E12" s="8">
        <f>FX_effect!FQ18</f>
        <v>10.829115687316792</v>
      </c>
      <c r="F12" s="8">
        <f t="shared" si="0"/>
        <v>-5.299060075474185</v>
      </c>
    </row>
    <row r="13" spans="1:6">
      <c r="C13" s="104" t="s">
        <v>120</v>
      </c>
      <c r="D13" s="8">
        <f>FX_effect!GN18</f>
        <v>4.743370198174329</v>
      </c>
      <c r="E13" s="8">
        <f>FX_effect!GT18</f>
        <v>10.829115687316792</v>
      </c>
      <c r="F13" s="8">
        <f t="shared" si="0"/>
        <v>-6.0857454891424627</v>
      </c>
    </row>
    <row r="14" spans="1:6">
      <c r="B14" s="11" t="s">
        <v>102</v>
      </c>
      <c r="C14" s="104"/>
      <c r="D14" s="8">
        <f>FX_effect!DF18</f>
        <v>7.202637112912452</v>
      </c>
      <c r="E14" s="8">
        <f>FX_effect!DK18</f>
        <v>7.8485124076376325</v>
      </c>
      <c r="F14" s="8">
        <f t="shared" si="0"/>
        <v>-0.64587529472518046</v>
      </c>
    </row>
    <row r="15" spans="1:6">
      <c r="B15" s="11" t="s">
        <v>504</v>
      </c>
      <c r="C15" s="104"/>
      <c r="D15" s="8">
        <f>FX_effect!CD18</f>
        <v>-1.4691253679545695</v>
      </c>
      <c r="E15" s="8">
        <f>FX_effect!CJ18</f>
        <v>3.1840594127944399</v>
      </c>
      <c r="F15" s="8">
        <f t="shared" si="0"/>
        <v>-4.6531847807490099</v>
      </c>
    </row>
    <row r="16" spans="1:6">
      <c r="C16" s="104" t="s">
        <v>120</v>
      </c>
      <c r="D16" s="8">
        <f>FX_effect!EH18</f>
        <v>-2.255810781622849</v>
      </c>
      <c r="E16" s="8">
        <f>FX_effect!EN18</f>
        <v>3.1840594127944399</v>
      </c>
      <c r="F16" s="8">
        <f t="shared" si="0"/>
        <v>-5.4398701944172885</v>
      </c>
    </row>
    <row r="17" spans="1:6">
      <c r="C17" s="104"/>
      <c r="D17" s="8"/>
      <c r="E17" s="8"/>
      <c r="F17" s="8"/>
    </row>
    <row r="18" spans="1:6">
      <c r="A18" s="11" t="s">
        <v>105</v>
      </c>
      <c r="C18" s="104"/>
      <c r="D18" s="8"/>
      <c r="E18" s="8"/>
      <c r="F18" s="8"/>
    </row>
    <row r="19" spans="1:6">
      <c r="B19" s="11" t="s">
        <v>99</v>
      </c>
      <c r="C19" s="104"/>
      <c r="D19" s="8">
        <f>FX_effect!FM18</f>
        <v>5.1765040975885812</v>
      </c>
      <c r="E19" s="8">
        <f>FX_effect!FS18</f>
        <v>0.41294675868965586</v>
      </c>
      <c r="F19" s="8">
        <f t="shared" si="0"/>
        <v>4.7635573388989254</v>
      </c>
    </row>
    <row r="20" spans="1:6">
      <c r="C20" s="104" t="s">
        <v>120</v>
      </c>
      <c r="D20" s="8">
        <f>FX_effect!GP18</f>
        <v>4.474898161523658</v>
      </c>
      <c r="E20" s="8">
        <f>FX_effect!GV18</f>
        <v>0.24013579601077895</v>
      </c>
      <c r="F20" s="8">
        <f t="shared" si="0"/>
        <v>4.2347623655128794</v>
      </c>
    </row>
    <row r="21" spans="1:6">
      <c r="B21" s="11" t="s">
        <v>102</v>
      </c>
      <c r="C21" s="104"/>
      <c r="D21" s="8">
        <f>FX_effect!DH18</f>
        <v>4.8184487126654414</v>
      </c>
      <c r="E21" s="8">
        <f>FX_effect!DM18</f>
        <v>1.9369452858880389</v>
      </c>
      <c r="F21" s="8">
        <f t="shared" si="0"/>
        <v>2.8815034267774022</v>
      </c>
    </row>
    <row r="22" spans="1:6">
      <c r="B22" s="11" t="s">
        <v>504</v>
      </c>
      <c r="C22" s="104"/>
      <c r="D22" s="8">
        <f>FX_effect!CF18</f>
        <v>0.56151151803841048</v>
      </c>
      <c r="E22" s="8">
        <f>FX_effect!CL18</f>
        <v>-1.3205423940831058</v>
      </c>
      <c r="F22" s="8">
        <f t="shared" si="0"/>
        <v>1.8820539121215163</v>
      </c>
    </row>
    <row r="23" spans="1:6">
      <c r="C23" s="104" t="s">
        <v>121</v>
      </c>
      <c r="D23" s="8">
        <f>FX_effect!EJ18</f>
        <v>-0.14009441802651509</v>
      </c>
      <c r="E23" s="8">
        <f>FX_effect!EP18</f>
        <v>-1.4933533567619841</v>
      </c>
      <c r="F23" s="8">
        <f t="shared" si="0"/>
        <v>1.353258938735469</v>
      </c>
    </row>
    <row r="24" spans="1:6">
      <c r="C24" s="104"/>
      <c r="D24" s="8"/>
      <c r="E24" s="8"/>
      <c r="F24" s="8"/>
    </row>
    <row r="25" spans="1:6">
      <c r="A25" s="11" t="s">
        <v>109</v>
      </c>
      <c r="C25" s="104"/>
      <c r="D25" s="8"/>
      <c r="E25" s="8"/>
      <c r="F25" s="8"/>
    </row>
    <row r="26" spans="1:6">
      <c r="B26" s="11" t="s">
        <v>101</v>
      </c>
      <c r="C26" s="104"/>
      <c r="D26" s="8">
        <f>FX_effect!FL18</f>
        <v>11.640164940095959</v>
      </c>
      <c r="E26" s="8">
        <f>FX_effect!FR18</f>
        <v>7.336617134622025</v>
      </c>
      <c r="F26" s="8">
        <f t="shared" si="0"/>
        <v>4.3035478054739338</v>
      </c>
    </row>
    <row r="27" spans="1:6">
      <c r="C27" s="104" t="s">
        <v>122</v>
      </c>
      <c r="D27" s="8">
        <f>FX_effect!GO18</f>
        <v>10.090830324237789</v>
      </c>
      <c r="E27" s="8">
        <f>FX_effect!GU18</f>
        <v>7.336617134622025</v>
      </c>
      <c r="F27" s="8">
        <f t="shared" si="0"/>
        <v>2.754213189615764</v>
      </c>
    </row>
    <row r="28" spans="1:6">
      <c r="B28" s="11" t="s">
        <v>102</v>
      </c>
      <c r="C28" s="104"/>
      <c r="D28" s="8">
        <f>FX_effect!DG18</f>
        <v>6.0435212717545754</v>
      </c>
      <c r="E28" s="8">
        <f>FX_effect!DL18</f>
        <v>1.7569665392787088</v>
      </c>
      <c r="F28" s="8">
        <f t="shared" si="0"/>
        <v>4.2865547324758664</v>
      </c>
    </row>
    <row r="29" spans="1:6">
      <c r="B29" s="11" t="s">
        <v>504</v>
      </c>
      <c r="C29" s="104"/>
      <c r="D29" s="8">
        <f>FX_effect!CE18</f>
        <v>5.8000998014566498</v>
      </c>
      <c r="E29" s="8">
        <f>FX_effect!CK18</f>
        <v>5.7831067284585815</v>
      </c>
      <c r="F29" s="8">
        <f t="shared" si="0"/>
        <v>1.6993072998068293E-2</v>
      </c>
    </row>
    <row r="30" spans="1:6">
      <c r="C30" s="104" t="s">
        <v>123</v>
      </c>
      <c r="D30" s="8">
        <f>FX_effect!EI18</f>
        <v>4.2507651855984783</v>
      </c>
      <c r="E30" s="8">
        <f>FX_effect!EO18</f>
        <v>5.7831067284585815</v>
      </c>
      <c r="F30" s="8">
        <f t="shared" si="0"/>
        <v>-1.5323415428601033</v>
      </c>
    </row>
    <row r="31" spans="1:6">
      <c r="C31" s="104"/>
      <c r="D31" s="8"/>
      <c r="E31" s="8"/>
      <c r="F31" s="8"/>
    </row>
    <row r="32" spans="1:6">
      <c r="A32" s="11" t="s">
        <v>112</v>
      </c>
      <c r="C32" s="104"/>
      <c r="D32" s="8"/>
      <c r="E32" s="8"/>
      <c r="F32" s="8"/>
    </row>
    <row r="33" spans="1:6">
      <c r="B33" s="11" t="s">
        <v>99</v>
      </c>
      <c r="C33" s="104"/>
      <c r="D33" s="8">
        <f>FX_effect!FN18</f>
        <v>3.1029726831509805</v>
      </c>
      <c r="E33" s="8">
        <f>FX_effect!FT18</f>
        <v>3.1527413883486513</v>
      </c>
      <c r="F33" s="8">
        <f t="shared" si="0"/>
        <v>-4.9768705197670737E-2</v>
      </c>
    </row>
    <row r="34" spans="1:6">
      <c r="C34" s="104" t="s">
        <v>124</v>
      </c>
      <c r="D34" s="8">
        <f>FX_effect!GQ18</f>
        <v>3.2242452595656204</v>
      </c>
      <c r="E34" s="8">
        <f>FX_effect!GW18</f>
        <v>3.0914811923851655</v>
      </c>
      <c r="F34" s="8">
        <f t="shared" si="0"/>
        <v>0.13276406718045486</v>
      </c>
    </row>
    <row r="35" spans="1:6">
      <c r="B35" s="11" t="s">
        <v>125</v>
      </c>
      <c r="C35" s="104"/>
      <c r="D35" s="8">
        <f>FX_effect!DI18</f>
        <v>1.7181655138205714</v>
      </c>
      <c r="E35" s="8">
        <f>FX_effect!DN18</f>
        <v>1.2525523228158459</v>
      </c>
      <c r="F35" s="8">
        <f t="shared" si="0"/>
        <v>0.46561319100472542</v>
      </c>
    </row>
    <row r="36" spans="1:6">
      <c r="B36" s="11" t="s">
        <v>504</v>
      </c>
      <c r="C36" s="104"/>
      <c r="D36" s="8">
        <f>FX_effect!CG18</f>
        <v>1.5882633024456803</v>
      </c>
      <c r="E36" s="8">
        <f>FX_effect!CM18</f>
        <v>2.1036451986480826</v>
      </c>
      <c r="F36" s="8">
        <f t="shared" si="0"/>
        <v>-0.51538189620240238</v>
      </c>
    </row>
    <row r="37" spans="1:6">
      <c r="C37" s="104" t="s">
        <v>120</v>
      </c>
      <c r="D37" s="8">
        <f>FX_effect!EK18</f>
        <v>1.7095358788603225</v>
      </c>
      <c r="E37" s="8">
        <f>FX_effect!EQ18</f>
        <v>2.0423850026845902</v>
      </c>
      <c r="F37" s="8">
        <f t="shared" si="0"/>
        <v>-0.33284912382426768</v>
      </c>
    </row>
    <row r="38" spans="1:6">
      <c r="C38" s="104"/>
      <c r="D38" s="8"/>
      <c r="E38" s="8"/>
      <c r="F38" s="8"/>
    </row>
    <row r="39" spans="1:6">
      <c r="A39" s="11" t="s">
        <v>115</v>
      </c>
      <c r="B39" s="11" t="s">
        <v>507</v>
      </c>
      <c r="C39" s="105"/>
      <c r="D39" s="8">
        <f>FX_effect!FO18</f>
        <v>1.0319630942602924</v>
      </c>
      <c r="E39" s="8"/>
    </row>
    <row r="40" spans="1:6">
      <c r="C40" s="104" t="s">
        <v>120</v>
      </c>
      <c r="D40" s="8">
        <f>FX_effect!GR18</f>
        <v>1.1353459055669055</v>
      </c>
      <c r="E40" s="8"/>
      <c r="F40" s="8"/>
    </row>
    <row r="41" spans="1:6">
      <c r="C41" s="104"/>
      <c r="D41" s="8"/>
      <c r="E41" s="8"/>
      <c r="F41" s="8"/>
    </row>
    <row r="42" spans="1:6">
      <c r="A42" s="11" t="s">
        <v>506</v>
      </c>
      <c r="C42" s="104"/>
      <c r="D42" s="8"/>
      <c r="E42" s="8"/>
      <c r="F42" s="8"/>
    </row>
    <row r="43" spans="1:6">
      <c r="A43" s="11" t="s">
        <v>505</v>
      </c>
    </row>
    <row r="44" spans="1:6">
      <c r="B44" s="11" t="s">
        <v>108</v>
      </c>
      <c r="D44" s="8">
        <f>FX_effect!HL18</f>
        <v>1.4473127847010636</v>
      </c>
    </row>
    <row r="46" spans="1:6">
      <c r="A46" s="11" t="s">
        <v>508</v>
      </c>
    </row>
    <row r="47" spans="1:6">
      <c r="A47" s="11" t="s">
        <v>515</v>
      </c>
    </row>
    <row r="48" spans="1:6">
      <c r="A48" s="11" t="s">
        <v>513</v>
      </c>
    </row>
    <row r="49" spans="1:1">
      <c r="A49" s="11" t="s">
        <v>523</v>
      </c>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
  <sheetViews>
    <sheetView workbookViewId="0"/>
  </sheetViews>
  <sheetFormatPr baseColWidth="12" defaultRowHeight="18" x14ac:dyDescent="0"/>
  <cols>
    <col min="1" max="1" width="12.83203125" style="11"/>
    <col min="2" max="2" width="16.83203125" style="11" customWidth="1"/>
    <col min="3" max="8" width="12.83203125" style="11"/>
  </cols>
  <sheetData>
    <row r="2" spans="1:13" s="35" customFormat="1">
      <c r="A2" s="36"/>
      <c r="B2" s="36"/>
      <c r="C2" s="36"/>
      <c r="D2" s="36"/>
      <c r="E2" s="36"/>
      <c r="F2" s="36"/>
      <c r="G2" s="36"/>
      <c r="H2" s="36"/>
    </row>
    <row r="3" spans="1:13" s="35" customFormat="1">
      <c r="A3" s="36"/>
      <c r="B3" s="36"/>
      <c r="C3" s="36"/>
      <c r="D3" s="36"/>
      <c r="E3" s="36"/>
      <c r="F3" s="36"/>
      <c r="G3" s="36"/>
      <c r="H3" s="36"/>
    </row>
    <row r="4" spans="1:13">
      <c r="B4" s="106" t="s">
        <v>628</v>
      </c>
      <c r="C4" s="106"/>
      <c r="D4" s="106"/>
      <c r="E4" s="106"/>
      <c r="F4" s="106"/>
      <c r="G4" s="106"/>
      <c r="H4" s="93"/>
      <c r="I4" s="25"/>
      <c r="J4" s="25"/>
      <c r="K4" s="25"/>
      <c r="L4" s="25"/>
      <c r="M4" s="25"/>
    </row>
    <row r="5" spans="1:13">
      <c r="B5" s="107"/>
      <c r="C5" s="108" t="s">
        <v>167</v>
      </c>
      <c r="D5" s="108" t="s">
        <v>73</v>
      </c>
      <c r="E5" s="108" t="s">
        <v>169</v>
      </c>
      <c r="F5" s="108" t="s">
        <v>170</v>
      </c>
      <c r="G5" s="108" t="s">
        <v>171</v>
      </c>
      <c r="H5" s="93"/>
      <c r="I5" s="25"/>
      <c r="J5" s="25"/>
      <c r="K5" s="25"/>
      <c r="L5" s="25"/>
      <c r="M5" s="25"/>
    </row>
    <row r="6" spans="1:13">
      <c r="B6" s="107" t="s">
        <v>172</v>
      </c>
      <c r="C6" s="109">
        <f>Composition_effect!BM23+Composition_effect!BY23</f>
        <v>1.4108877083551741</v>
      </c>
      <c r="D6" s="109">
        <f>Composition_effect!BN23+Composition_effect!BZ23</f>
        <v>-0.28002374422312298</v>
      </c>
      <c r="E6" s="109">
        <f>Composition_effect!BO23+Composition_effect!CA23</f>
        <v>0.69231357140871208</v>
      </c>
      <c r="F6" s="109">
        <f>Composition_effect!BP23+Composition_effect!CB23</f>
        <v>1.5084028761206083</v>
      </c>
      <c r="G6" s="109">
        <f>Composition_effect!BQ23+Composition_effect!CC23</f>
        <v>-0.50980499495102294</v>
      </c>
      <c r="H6" s="110"/>
      <c r="I6" s="25"/>
      <c r="J6" s="25"/>
      <c r="K6" s="25"/>
      <c r="L6" s="25"/>
      <c r="M6" s="25"/>
    </row>
    <row r="7" spans="1:13">
      <c r="B7" s="107" t="s">
        <v>173</v>
      </c>
      <c r="C7" s="109">
        <f>Composition_effect!BS23+Composition_effect!CE23</f>
        <v>-0.36038227171544462</v>
      </c>
      <c r="D7" s="109">
        <f>Composition_effect!BT23+Composition_effect!CF23</f>
        <v>0.41748262413638171</v>
      </c>
      <c r="E7" s="109">
        <f>Composition_effect!BU23+Composition_effect!CG23</f>
        <v>-1.0962328063351277</v>
      </c>
      <c r="F7" s="109">
        <f>Composition_effect!BV23+Composition_effect!CH23</f>
        <v>0.79936993231128006</v>
      </c>
      <c r="G7" s="109">
        <f>Composition_effect!BW23+Composition_effect!CI23</f>
        <v>-0.4810020218279788</v>
      </c>
      <c r="H7" s="110"/>
      <c r="I7" s="25"/>
      <c r="J7" s="25"/>
      <c r="K7" s="25"/>
      <c r="L7" s="25"/>
      <c r="M7" s="25"/>
    </row>
    <row r="8" spans="1:13">
      <c r="B8" s="93"/>
      <c r="C8" s="93"/>
      <c r="D8" s="93"/>
      <c r="E8" s="93"/>
      <c r="F8" s="93"/>
      <c r="G8" s="93"/>
      <c r="H8" s="93"/>
      <c r="I8" s="25"/>
      <c r="J8" s="25"/>
      <c r="K8" s="25"/>
      <c r="L8" s="25"/>
      <c r="M8" s="25"/>
    </row>
    <row r="9" spans="1:13">
      <c r="B9" s="97" t="s">
        <v>277</v>
      </c>
      <c r="C9" s="93"/>
      <c r="D9" s="93"/>
      <c r="E9" s="93"/>
      <c r="F9" s="93"/>
      <c r="G9" s="93"/>
      <c r="H9" s="93"/>
      <c r="I9" s="25"/>
      <c r="J9" s="25"/>
      <c r="K9" s="25"/>
      <c r="L9" s="25"/>
      <c r="M9" s="25"/>
    </row>
    <row r="10" spans="1:13">
      <c r="B10" s="97" t="s">
        <v>516</v>
      </c>
      <c r="C10" s="93"/>
      <c r="D10" s="93"/>
      <c r="E10" s="93"/>
      <c r="F10" s="93"/>
      <c r="G10" s="93"/>
      <c r="H10" s="93"/>
      <c r="I10" s="25"/>
      <c r="J10" s="25"/>
      <c r="K10" s="25"/>
      <c r="L10" s="25"/>
      <c r="M10" s="25"/>
    </row>
    <row r="11" spans="1:13">
      <c r="B11" s="93"/>
      <c r="C11" s="93"/>
      <c r="D11" s="93"/>
      <c r="E11" s="93"/>
      <c r="F11" s="93"/>
      <c r="G11" s="93"/>
      <c r="H11" s="93"/>
      <c r="I11" s="25"/>
      <c r="J11" s="25"/>
      <c r="K11" s="25"/>
      <c r="L11" s="25"/>
      <c r="M11" s="25"/>
    </row>
    <row r="12" spans="1:13">
      <c r="H12" s="93"/>
      <c r="I12" s="25"/>
      <c r="J12" s="25"/>
      <c r="K12" s="25"/>
      <c r="L12" s="25"/>
      <c r="M12" s="25"/>
    </row>
    <row r="13" spans="1:13">
      <c r="D13" s="8"/>
      <c r="E13" s="8"/>
      <c r="F13" s="8"/>
      <c r="G13" s="8"/>
      <c r="M13" s="25"/>
    </row>
  </sheetData>
  <phoneticPr fontId="4"/>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0"/>
  <sheetViews>
    <sheetView workbookViewId="0">
      <pane xSplit="1" ySplit="1" topLeftCell="B2" activePane="bottomRight" state="frozen"/>
      <selection pane="topRight" activeCell="D1" sqref="D1"/>
      <selection pane="bottomLeft" activeCell="A2" sqref="A2"/>
      <selection pane="bottomRight"/>
    </sheetView>
  </sheetViews>
  <sheetFormatPr baseColWidth="12" defaultRowHeight="18" x14ac:dyDescent="0"/>
  <cols>
    <col min="1" max="20" width="12.83203125" style="11"/>
  </cols>
  <sheetData>
    <row r="1" spans="1:20" s="125" customFormat="1" ht="36">
      <c r="A1" s="122" t="s">
        <v>7</v>
      </c>
      <c r="B1" s="123" t="s">
        <v>8</v>
      </c>
      <c r="C1" s="123" t="s">
        <v>9</v>
      </c>
      <c r="D1" s="123" t="s">
        <v>10</v>
      </c>
      <c r="E1" s="123" t="s">
        <v>11</v>
      </c>
      <c r="F1" s="123" t="s">
        <v>12</v>
      </c>
      <c r="G1" s="123" t="s">
        <v>13</v>
      </c>
      <c r="H1" s="123" t="s">
        <v>14</v>
      </c>
      <c r="I1" s="123" t="s">
        <v>15</v>
      </c>
      <c r="J1" s="123" t="s">
        <v>16</v>
      </c>
      <c r="K1" s="123" t="s">
        <v>17</v>
      </c>
      <c r="L1" s="123" t="s">
        <v>18</v>
      </c>
      <c r="M1" s="123" t="s">
        <v>19</v>
      </c>
      <c r="N1" s="123" t="s">
        <v>20</v>
      </c>
      <c r="O1" s="124" t="s">
        <v>21</v>
      </c>
      <c r="P1" s="124" t="s">
        <v>22</v>
      </c>
      <c r="Q1" s="124" t="s">
        <v>23</v>
      </c>
      <c r="R1" s="124" t="s">
        <v>24</v>
      </c>
      <c r="S1" s="124" t="s">
        <v>25</v>
      </c>
      <c r="T1" s="124" t="s">
        <v>26</v>
      </c>
    </row>
    <row r="2" spans="1:20">
      <c r="A2" s="30">
        <v>1970</v>
      </c>
      <c r="B2" s="76">
        <v>39.840521053979089</v>
      </c>
      <c r="C2" s="76">
        <v>1361.7284803491282</v>
      </c>
      <c r="D2" s="76">
        <v>1490</v>
      </c>
      <c r="E2" s="76">
        <v>1126</v>
      </c>
      <c r="F2" s="76">
        <v>23562.894522690578</v>
      </c>
      <c r="G2" s="76">
        <v>14764.978488378854</v>
      </c>
      <c r="H2" s="76">
        <v>0</v>
      </c>
      <c r="I2" s="76">
        <v>0</v>
      </c>
      <c r="J2" s="76">
        <v>4307.5299998537103</v>
      </c>
      <c r="K2" s="76">
        <v>29400.265043598265</v>
      </c>
      <c r="L2" s="76">
        <v>17252.706968727984</v>
      </c>
      <c r="M2" s="76">
        <v>12147.558074870281</v>
      </c>
      <c r="N2" s="76"/>
      <c r="O2" s="76">
        <v>158.1594789460209</v>
      </c>
      <c r="P2" s="76"/>
      <c r="Q2" s="76">
        <v>23404.735043744557</v>
      </c>
      <c r="R2" s="76"/>
      <c r="S2" s="77">
        <v>360.00000035900001</v>
      </c>
      <c r="T2" s="77">
        <v>357.64999999899999</v>
      </c>
    </row>
    <row r="3" spans="1:20">
      <c r="A3" s="30">
        <v>1971</v>
      </c>
      <c r="B3" s="76">
        <v>124.90010053782262</v>
      </c>
      <c r="C3" s="76">
        <v>2580.8370484409697</v>
      </c>
      <c r="D3" s="76">
        <v>1851</v>
      </c>
      <c r="E3" s="76">
        <v>1337</v>
      </c>
      <c r="F3" s="76">
        <v>24165.388453318181</v>
      </c>
      <c r="G3" s="76">
        <v>18928.460990828011</v>
      </c>
      <c r="H3" s="76">
        <v>0</v>
      </c>
      <c r="I3" s="76">
        <v>0</v>
      </c>
      <c r="J3" s="76">
        <v>14621.8996448172</v>
      </c>
      <c r="K3" s="76">
        <v>40763.188198673204</v>
      </c>
      <c r="L3" s="76">
        <v>22846.298039268979</v>
      </c>
      <c r="M3" s="76">
        <v>17916.890159404225</v>
      </c>
      <c r="N3" s="76"/>
      <c r="O3" s="76">
        <v>223.09989946217738</v>
      </c>
      <c r="P3" s="76"/>
      <c r="Q3" s="76">
        <v>23942.288553856004</v>
      </c>
      <c r="R3" s="76"/>
      <c r="S3" s="77">
        <v>350.677693533362</v>
      </c>
      <c r="T3" s="77">
        <v>314.79999999799998</v>
      </c>
    </row>
    <row r="4" spans="1:20">
      <c r="A4" s="30">
        <v>1972</v>
      </c>
      <c r="B4" s="76">
        <v>379.47635887939367</v>
      </c>
      <c r="C4" s="76">
        <v>6356.5004766020138</v>
      </c>
      <c r="D4" s="76">
        <v>2574</v>
      </c>
      <c r="E4" s="76">
        <v>1645</v>
      </c>
      <c r="F4" s="76">
        <v>32186.781940777215</v>
      </c>
      <c r="G4" s="76">
        <v>21574.109912970154</v>
      </c>
      <c r="H4" s="76">
        <v>0</v>
      </c>
      <c r="I4" s="76">
        <v>0</v>
      </c>
      <c r="J4" s="76">
        <v>17563.610466175502</v>
      </c>
      <c r="K4" s="76">
        <v>52703.868765832107</v>
      </c>
      <c r="L4" s="76">
        <v>29575.610389572168</v>
      </c>
      <c r="M4" s="76">
        <v>23128.258376259939</v>
      </c>
      <c r="N4" s="76"/>
      <c r="O4" s="76">
        <v>1570.5236411206063</v>
      </c>
      <c r="P4" s="76"/>
      <c r="Q4" s="76">
        <v>30616.258299656609</v>
      </c>
      <c r="R4" s="76"/>
      <c r="S4" s="77">
        <v>303.17249999900002</v>
      </c>
      <c r="T4" s="77">
        <v>301.99999999900001</v>
      </c>
    </row>
    <row r="5" spans="1:20">
      <c r="A5" s="30">
        <v>1973</v>
      </c>
      <c r="B5" s="76">
        <v>793.90005503850909</v>
      </c>
      <c r="C5" s="76">
        <v>4526.0004349881219</v>
      </c>
      <c r="D5" s="76">
        <v>4546</v>
      </c>
      <c r="E5" s="76">
        <v>1602</v>
      </c>
      <c r="F5" s="76">
        <v>33748.568049813453</v>
      </c>
      <c r="G5" s="76">
        <v>28207.752944889122</v>
      </c>
      <c r="H5" s="76">
        <v>0</v>
      </c>
      <c r="I5" s="76">
        <v>0</v>
      </c>
      <c r="J5" s="76">
        <v>11354.557638574899</v>
      </c>
      <c r="K5" s="76">
        <v>50443.025743426864</v>
      </c>
      <c r="L5" s="76">
        <v>34335.753379877242</v>
      </c>
      <c r="M5" s="76">
        <v>16107.272363549622</v>
      </c>
      <c r="N5" s="76"/>
      <c r="O5" s="76">
        <v>3104.099944961491</v>
      </c>
      <c r="P5" s="76"/>
      <c r="Q5" s="76">
        <v>30644.468104851963</v>
      </c>
      <c r="R5" s="76"/>
      <c r="S5" s="77">
        <v>271.70166666608299</v>
      </c>
      <c r="T5" s="77">
        <v>279.99999999900001</v>
      </c>
    </row>
    <row r="6" spans="1:20">
      <c r="A6" s="30">
        <v>1974</v>
      </c>
      <c r="B6" s="76">
        <v>574.75727045062581</v>
      </c>
      <c r="C6" s="76">
        <v>2765.3551483249098</v>
      </c>
      <c r="D6" s="76">
        <v>6559</v>
      </c>
      <c r="E6" s="76">
        <v>1867</v>
      </c>
      <c r="F6" s="76">
        <v>18498.619768080025</v>
      </c>
      <c r="G6" s="76">
        <v>42069.485316282466</v>
      </c>
      <c r="H6" s="76">
        <v>0</v>
      </c>
      <c r="I6" s="76">
        <v>0</v>
      </c>
      <c r="J6" s="76">
        <v>12614.286573068201</v>
      </c>
      <c r="K6" s="76">
        <v>38246.663611598851</v>
      </c>
      <c r="L6" s="76">
        <v>46701.840464607376</v>
      </c>
      <c r="M6" s="76">
        <v>-8455.1768530085246</v>
      </c>
      <c r="N6" s="76"/>
      <c r="O6" s="76">
        <v>3508.2427295493744</v>
      </c>
      <c r="P6" s="76"/>
      <c r="Q6" s="76">
        <v>14990.377038530649</v>
      </c>
      <c r="R6" s="76"/>
      <c r="S6" s="77">
        <v>292.08249999924999</v>
      </c>
      <c r="T6" s="77">
        <v>300.949999999</v>
      </c>
    </row>
    <row r="7" spans="1:20">
      <c r="A7" s="30">
        <v>1975</v>
      </c>
      <c r="B7" s="76">
        <v>761.13334908884815</v>
      </c>
      <c r="C7" s="76">
        <v>3837.0564854204586</v>
      </c>
      <c r="D7" s="76">
        <v>8322</v>
      </c>
      <c r="E7" s="76">
        <v>2084</v>
      </c>
      <c r="F7" s="76">
        <v>39081.555410623951</v>
      </c>
      <c r="G7" s="76">
        <v>45076.543500342079</v>
      </c>
      <c r="H7" s="76">
        <v>0</v>
      </c>
      <c r="I7" s="76">
        <v>0</v>
      </c>
      <c r="J7" s="76">
        <v>11950.2125603561</v>
      </c>
      <c r="K7" s="76">
        <v>60114.901320068901</v>
      </c>
      <c r="L7" s="76">
        <v>50997.599985762536</v>
      </c>
      <c r="M7" s="76">
        <v>9117.3013343063649</v>
      </c>
      <c r="N7" s="76"/>
      <c r="O7" s="76">
        <v>3342.8666509111517</v>
      </c>
      <c r="P7" s="76"/>
      <c r="Q7" s="76">
        <v>35738.688759712801</v>
      </c>
      <c r="R7" s="76"/>
      <c r="S7" s="77">
        <v>296.78749999916698</v>
      </c>
      <c r="T7" s="77">
        <v>305.14999999899999</v>
      </c>
    </row>
    <row r="8" spans="1:20">
      <c r="A8" s="30">
        <v>1976</v>
      </c>
      <c r="B8" s="76">
        <v>816.68984393180074</v>
      </c>
      <c r="C8" s="76">
        <v>4592.2196213514089</v>
      </c>
      <c r="D8" s="76">
        <v>10313</v>
      </c>
      <c r="E8" s="76">
        <v>2208</v>
      </c>
      <c r="F8" s="76">
        <v>45279.103607459831</v>
      </c>
      <c r="G8" s="76">
        <v>51253.747431032716</v>
      </c>
      <c r="H8" s="76">
        <v>0</v>
      </c>
      <c r="I8" s="76">
        <v>0</v>
      </c>
      <c r="J8" s="76">
        <v>15746.250638739801</v>
      </c>
      <c r="K8" s="76">
        <v>72155.044090131429</v>
      </c>
      <c r="L8" s="76">
        <v>58053.967052384127</v>
      </c>
      <c r="M8" s="76">
        <v>14101.077037747302</v>
      </c>
      <c r="N8" s="76"/>
      <c r="O8" s="76">
        <v>3341.3101560681994</v>
      </c>
      <c r="P8" s="76"/>
      <c r="Q8" s="76">
        <v>41937.793451391633</v>
      </c>
      <c r="R8" s="76"/>
      <c r="S8" s="77">
        <v>296.55249999916703</v>
      </c>
      <c r="T8" s="77">
        <v>292.79999999799998</v>
      </c>
    </row>
    <row r="9" spans="1:20">
      <c r="A9" s="30">
        <v>1977</v>
      </c>
      <c r="B9" s="76">
        <v>787.97602802576296</v>
      </c>
      <c r="C9" s="76">
        <v>4355.9158224750126</v>
      </c>
      <c r="D9" s="76">
        <v>11958</v>
      </c>
      <c r="E9" s="76">
        <v>2229</v>
      </c>
      <c r="F9" s="76">
        <v>53789.432665205422</v>
      </c>
      <c r="G9" s="76">
        <v>51133.897792745869</v>
      </c>
      <c r="H9" s="76">
        <v>0</v>
      </c>
      <c r="I9" s="76">
        <v>0</v>
      </c>
      <c r="J9" s="76">
        <v>22340.958946499999</v>
      </c>
      <c r="K9" s="76">
        <v>88876.367639731194</v>
      </c>
      <c r="L9" s="76">
        <v>57718.813615220883</v>
      </c>
      <c r="M9" s="76">
        <v>31157.554024510311</v>
      </c>
      <c r="N9" s="76"/>
      <c r="O9" s="76">
        <v>4807.0239719742367</v>
      </c>
      <c r="P9" s="76"/>
      <c r="Q9" s="76">
        <v>48982.408693231184</v>
      </c>
      <c r="R9" s="76"/>
      <c r="S9" s="77">
        <v>268.50999999933299</v>
      </c>
      <c r="T9" s="77">
        <v>239.99999999900001</v>
      </c>
    </row>
    <row r="10" spans="1:20">
      <c r="A10" s="30">
        <v>1978</v>
      </c>
      <c r="B10" s="76">
        <v>955.09853168469601</v>
      </c>
      <c r="C10" s="76">
        <v>5596.6709671861754</v>
      </c>
      <c r="D10" s="76">
        <v>14329</v>
      </c>
      <c r="E10" s="76">
        <v>2841</v>
      </c>
      <c r="F10" s="76">
        <v>83492.64536221468</v>
      </c>
      <c r="G10" s="76">
        <v>73553.778898092554</v>
      </c>
      <c r="H10" s="76">
        <v>0</v>
      </c>
      <c r="I10" s="76">
        <v>0</v>
      </c>
      <c r="J10" s="76">
        <v>32407.240180246499</v>
      </c>
      <c r="K10" s="76">
        <v>131183.98407414588</v>
      </c>
      <c r="L10" s="76">
        <v>81991.44986527873</v>
      </c>
      <c r="M10" s="76">
        <v>49192.534208867146</v>
      </c>
      <c r="N10" s="76"/>
      <c r="O10" s="76">
        <v>11248.901468315304</v>
      </c>
      <c r="P10" s="76"/>
      <c r="Q10" s="76">
        <v>72243.743893899373</v>
      </c>
      <c r="R10" s="76"/>
      <c r="S10" s="77">
        <v>210.441666666</v>
      </c>
      <c r="T10" s="77">
        <v>194.599999999</v>
      </c>
    </row>
    <row r="11" spans="1:20">
      <c r="A11" s="30">
        <v>1979</v>
      </c>
      <c r="B11" s="76">
        <v>1637.0807161741789</v>
      </c>
      <c r="C11" s="76">
        <v>5144.6552391577443</v>
      </c>
      <c r="D11" s="76">
        <v>17227</v>
      </c>
      <c r="E11" s="76">
        <v>3422</v>
      </c>
      <c r="F11" s="76">
        <v>95048.670340529236</v>
      </c>
      <c r="G11" s="76">
        <v>97333.823306885533</v>
      </c>
      <c r="H11" s="76">
        <v>0</v>
      </c>
      <c r="I11" s="76">
        <v>0</v>
      </c>
      <c r="J11" s="76">
        <v>19521.5185811187</v>
      </c>
      <c r="K11" s="76">
        <v>133434.26963782212</v>
      </c>
      <c r="L11" s="76">
        <v>105900.47854604328</v>
      </c>
      <c r="M11" s="76">
        <v>27533.791091778839</v>
      </c>
      <c r="N11" s="76"/>
      <c r="O11" s="76">
        <v>17365.91928382582</v>
      </c>
      <c r="P11" s="76"/>
      <c r="Q11" s="76">
        <v>77682.751056703419</v>
      </c>
      <c r="R11" s="76"/>
      <c r="S11" s="77">
        <v>219.13999999933301</v>
      </c>
      <c r="T11" s="77">
        <v>239.699999999</v>
      </c>
    </row>
    <row r="12" spans="1:20">
      <c r="A12" s="30">
        <v>1980</v>
      </c>
      <c r="B12" s="76">
        <v>1755.0115459099368</v>
      </c>
      <c r="C12" s="76">
        <v>14180</v>
      </c>
      <c r="D12" s="76">
        <v>19610.001</v>
      </c>
      <c r="E12" s="76">
        <v>3270</v>
      </c>
      <c r="F12" s="76">
        <v>112564.98845409007</v>
      </c>
      <c r="G12" s="76">
        <v>129680</v>
      </c>
      <c r="H12" s="76">
        <v>0</v>
      </c>
      <c r="I12" s="76">
        <v>0</v>
      </c>
      <c r="J12" s="76">
        <v>24636.4539597373</v>
      </c>
      <c r="K12" s="76">
        <v>158566.45495973728</v>
      </c>
      <c r="L12" s="76">
        <v>147130</v>
      </c>
      <c r="M12" s="76">
        <v>11436.454959737282</v>
      </c>
      <c r="N12" s="76">
        <v>12519.454959737282</v>
      </c>
      <c r="O12" s="76">
        <v>19684.988454090064</v>
      </c>
      <c r="P12" s="76">
        <v>28370</v>
      </c>
      <c r="Q12" s="76">
        <v>92880</v>
      </c>
      <c r="R12" s="76">
        <v>101310</v>
      </c>
      <c r="S12" s="77">
        <v>226.74083333283301</v>
      </c>
      <c r="T12" s="77">
        <v>202.99999999900001</v>
      </c>
    </row>
    <row r="13" spans="1:20">
      <c r="A13" s="30">
        <v>1981</v>
      </c>
      <c r="B13" s="76">
        <v>1755.6379739133129</v>
      </c>
      <c r="C13" s="76">
        <v>27770</v>
      </c>
      <c r="D13" s="76">
        <v>24510</v>
      </c>
      <c r="E13" s="76">
        <v>3920.0001000000002</v>
      </c>
      <c r="F13" s="76">
        <v>154644.36202608669</v>
      </c>
      <c r="G13" s="76">
        <v>165610</v>
      </c>
      <c r="H13" s="76">
        <v>0</v>
      </c>
      <c r="I13" s="76">
        <v>0</v>
      </c>
      <c r="J13" s="76">
        <v>28208.417411538299</v>
      </c>
      <c r="K13" s="76">
        <v>209118.41741153831</v>
      </c>
      <c r="L13" s="76">
        <v>197300.0001</v>
      </c>
      <c r="M13" s="76">
        <v>11818.417311538302</v>
      </c>
      <c r="N13" s="76">
        <v>12762.417311538302</v>
      </c>
      <c r="O13" s="76">
        <v>29784.362026086688</v>
      </c>
      <c r="P13" s="76">
        <v>40500</v>
      </c>
      <c r="Q13" s="76">
        <v>124860</v>
      </c>
      <c r="R13" s="76">
        <v>125110</v>
      </c>
      <c r="S13" s="77">
        <v>220.53583333275</v>
      </c>
      <c r="T13" s="77">
        <v>219.89999999899999</v>
      </c>
    </row>
    <row r="14" spans="1:20">
      <c r="A14" s="30">
        <v>1982</v>
      </c>
      <c r="B14" s="76">
        <v>2049.4478250582788</v>
      </c>
      <c r="C14" s="76">
        <v>29809.999</v>
      </c>
      <c r="D14" s="76">
        <v>28969.999</v>
      </c>
      <c r="E14" s="76">
        <v>4000</v>
      </c>
      <c r="F14" s="76">
        <v>173310.55217494172</v>
      </c>
      <c r="G14" s="76">
        <v>168220</v>
      </c>
      <c r="H14" s="76">
        <v>0</v>
      </c>
      <c r="I14" s="76">
        <v>0</v>
      </c>
      <c r="J14" s="76">
        <v>23333.967785404599</v>
      </c>
      <c r="K14" s="76">
        <v>227663.9667854046</v>
      </c>
      <c r="L14" s="76">
        <v>202029.99900000001</v>
      </c>
      <c r="M14" s="76">
        <v>25633.967785404588</v>
      </c>
      <c r="N14" s="76">
        <v>26471.967785404588</v>
      </c>
      <c r="O14" s="76">
        <v>38020.552174941724</v>
      </c>
      <c r="P14" s="76">
        <v>44100</v>
      </c>
      <c r="Q14" s="76">
        <v>135290</v>
      </c>
      <c r="R14" s="76">
        <v>124120</v>
      </c>
      <c r="S14" s="77">
        <v>249.07666666583299</v>
      </c>
      <c r="T14" s="77">
        <v>234.99999999900001</v>
      </c>
    </row>
    <row r="15" spans="1:20">
      <c r="A15" s="30">
        <v>1983</v>
      </c>
      <c r="B15" s="76">
        <v>3050.9410439660055</v>
      </c>
      <c r="C15" s="76">
        <v>47419.998</v>
      </c>
      <c r="D15" s="76">
        <v>32180</v>
      </c>
      <c r="E15" s="76">
        <v>4360.0000999999993</v>
      </c>
      <c r="F15" s="76">
        <v>211169.05895603399</v>
      </c>
      <c r="G15" s="76">
        <v>181980</v>
      </c>
      <c r="H15" s="76">
        <v>0</v>
      </c>
      <c r="I15" s="76">
        <v>0</v>
      </c>
      <c r="J15" s="76">
        <v>24601.574866151801</v>
      </c>
      <c r="K15" s="76">
        <v>271001.57486615179</v>
      </c>
      <c r="L15" s="76">
        <v>233759.9981</v>
      </c>
      <c r="M15" s="76">
        <v>37241.576766151789</v>
      </c>
      <c r="N15" s="76">
        <v>38017.576766151789</v>
      </c>
      <c r="O15" s="76">
        <v>53069.058956033994</v>
      </c>
      <c r="P15" s="76">
        <v>50060</v>
      </c>
      <c r="Q15" s="76">
        <v>158100</v>
      </c>
      <c r="R15" s="76">
        <v>131920</v>
      </c>
      <c r="S15" s="77">
        <v>237.51166666608299</v>
      </c>
      <c r="T15" s="77">
        <v>232.199999999</v>
      </c>
    </row>
    <row r="16" spans="1:20">
      <c r="A16" s="30">
        <v>1984</v>
      </c>
      <c r="B16" s="76">
        <v>3103.992039779861</v>
      </c>
      <c r="C16" s="76">
        <v>48029.998999999996</v>
      </c>
      <c r="D16" s="76">
        <v>37919.998</v>
      </c>
      <c r="E16" s="76">
        <v>4460</v>
      </c>
      <c r="F16" s="76">
        <v>272926.00796022016</v>
      </c>
      <c r="G16" s="76">
        <v>213500</v>
      </c>
      <c r="H16" s="76">
        <v>0</v>
      </c>
      <c r="I16" s="76">
        <v>0</v>
      </c>
      <c r="J16" s="76">
        <v>26429.152068399999</v>
      </c>
      <c r="K16" s="76">
        <v>340379.15006840002</v>
      </c>
      <c r="L16" s="76">
        <v>265989.99900000001</v>
      </c>
      <c r="M16" s="76">
        <v>74389.15106840001</v>
      </c>
      <c r="N16" s="76">
        <v>75046.15106840001</v>
      </c>
      <c r="O16" s="76">
        <v>84476.007960220144</v>
      </c>
      <c r="P16" s="76">
        <v>59640</v>
      </c>
      <c r="Q16" s="76">
        <v>188450</v>
      </c>
      <c r="R16" s="76">
        <v>153860</v>
      </c>
      <c r="S16" s="77">
        <v>237.52249999933301</v>
      </c>
      <c r="T16" s="77">
        <v>251.1</v>
      </c>
    </row>
    <row r="17" spans="1:20">
      <c r="A17" s="30">
        <v>1985</v>
      </c>
      <c r="B17" s="76">
        <v>5312.5008501112616</v>
      </c>
      <c r="C17" s="76">
        <v>45950.001000000004</v>
      </c>
      <c r="D17" s="76">
        <v>43970.001000000004</v>
      </c>
      <c r="E17" s="76">
        <v>4739.9997999999996</v>
      </c>
      <c r="F17" s="76">
        <v>360767.49914988875</v>
      </c>
      <c r="G17" s="76">
        <v>256210</v>
      </c>
      <c r="H17" s="76">
        <v>0</v>
      </c>
      <c r="I17" s="76">
        <v>0</v>
      </c>
      <c r="J17" s="76">
        <v>26718.652665273799</v>
      </c>
      <c r="K17" s="76">
        <v>436768.65366527386</v>
      </c>
      <c r="L17" s="76">
        <v>306900.00079999998</v>
      </c>
      <c r="M17" s="76">
        <v>129868.65286527388</v>
      </c>
      <c r="N17" s="76">
        <v>130380.65286527388</v>
      </c>
      <c r="O17" s="76">
        <v>140437.49914988872</v>
      </c>
      <c r="P17" s="76">
        <v>71860</v>
      </c>
      <c r="Q17" s="76">
        <v>220330</v>
      </c>
      <c r="R17" s="76">
        <v>184350</v>
      </c>
      <c r="S17" s="77">
        <v>238.53583333275</v>
      </c>
      <c r="T17" s="77">
        <v>200.5</v>
      </c>
    </row>
    <row r="18" spans="1:20">
      <c r="A18" s="30">
        <v>1986</v>
      </c>
      <c r="B18" s="76">
        <v>13470.538412003847</v>
      </c>
      <c r="C18" s="76">
        <v>78690.002000000008</v>
      </c>
      <c r="D18" s="76">
        <v>58070</v>
      </c>
      <c r="E18" s="76">
        <v>6510.0002000000004</v>
      </c>
      <c r="F18" s="76">
        <v>612479.46158799622</v>
      </c>
      <c r="G18" s="76">
        <v>460670</v>
      </c>
      <c r="H18" s="76">
        <v>0</v>
      </c>
      <c r="I18" s="76">
        <v>0</v>
      </c>
      <c r="J18" s="76">
        <v>42256.6023976</v>
      </c>
      <c r="K18" s="76">
        <v>726276.60239760007</v>
      </c>
      <c r="L18" s="76">
        <v>545870.00219999999</v>
      </c>
      <c r="M18" s="76">
        <v>180406.60019760008</v>
      </c>
      <c r="N18" s="76">
        <v>180979.60019760008</v>
      </c>
      <c r="O18" s="76">
        <v>244459.46158799616</v>
      </c>
      <c r="P18" s="76">
        <v>107350</v>
      </c>
      <c r="Q18" s="76">
        <v>368020</v>
      </c>
      <c r="R18" s="76">
        <v>353320</v>
      </c>
      <c r="S18" s="77">
        <v>168.519833333083</v>
      </c>
      <c r="T18" s="77">
        <v>159.1</v>
      </c>
    </row>
    <row r="19" spans="1:20">
      <c r="A19" s="30">
        <v>1987</v>
      </c>
      <c r="B19" s="76">
        <v>27568.495196203552</v>
      </c>
      <c r="C19" s="76">
        <v>66300.002999999997</v>
      </c>
      <c r="D19" s="76">
        <v>77019.997000000003</v>
      </c>
      <c r="E19" s="76">
        <v>9020.0005000000001</v>
      </c>
      <c r="F19" s="76">
        <v>884861.50480379653</v>
      </c>
      <c r="G19" s="76">
        <v>754310</v>
      </c>
      <c r="H19" s="76">
        <v>0</v>
      </c>
      <c r="I19" s="76">
        <v>0</v>
      </c>
      <c r="J19" s="76">
        <v>80972.876104399998</v>
      </c>
      <c r="K19" s="76">
        <v>1070422.8731044</v>
      </c>
      <c r="L19" s="76">
        <v>829630.00349999999</v>
      </c>
      <c r="M19" s="76">
        <v>240792.86960440001</v>
      </c>
      <c r="N19" s="76">
        <v>241715.86960440001</v>
      </c>
      <c r="O19" s="76">
        <v>326981.50480379647</v>
      </c>
      <c r="P19" s="76">
        <v>163160</v>
      </c>
      <c r="Q19" s="76">
        <v>557880</v>
      </c>
      <c r="R19" s="76">
        <v>591150</v>
      </c>
      <c r="S19" s="77">
        <v>144.63749999999999</v>
      </c>
      <c r="T19" s="77">
        <v>123.5</v>
      </c>
    </row>
    <row r="20" spans="1:20">
      <c r="A20" s="30">
        <v>1988</v>
      </c>
      <c r="B20" s="76">
        <v>33930.315181308142</v>
      </c>
      <c r="C20" s="76">
        <v>113520</v>
      </c>
      <c r="D20" s="76">
        <v>110780</v>
      </c>
      <c r="E20" s="76">
        <v>10420</v>
      </c>
      <c r="F20" s="76">
        <v>1226769.6848186918</v>
      </c>
      <c r="G20" s="76">
        <v>1052470</v>
      </c>
      <c r="H20" s="76">
        <v>0</v>
      </c>
      <c r="I20" s="76">
        <v>0</v>
      </c>
      <c r="J20" s="76">
        <v>96728.187770999997</v>
      </c>
      <c r="K20" s="76">
        <v>1468208.187771</v>
      </c>
      <c r="L20" s="76">
        <v>1176410</v>
      </c>
      <c r="M20" s="76">
        <v>291798.18777099997</v>
      </c>
      <c r="N20" s="76">
        <v>292934.18777099997</v>
      </c>
      <c r="O20" s="76">
        <v>415379.68481869187</v>
      </c>
      <c r="P20" s="76">
        <v>204210</v>
      </c>
      <c r="Q20" s="76">
        <v>811390</v>
      </c>
      <c r="R20" s="76">
        <v>848260</v>
      </c>
      <c r="S20" s="77">
        <v>128.15166666666701</v>
      </c>
      <c r="T20" s="77">
        <v>125.85</v>
      </c>
    </row>
    <row r="21" spans="1:20">
      <c r="A21" s="30">
        <v>1989</v>
      </c>
      <c r="B21" s="76">
        <v>61566.870866827885</v>
      </c>
      <c r="C21" s="76">
        <v>162080</v>
      </c>
      <c r="D21" s="76">
        <v>154370</v>
      </c>
      <c r="E21" s="76">
        <v>9159.9997999999996</v>
      </c>
      <c r="F21" s="76">
        <v>1470003.1291331721</v>
      </c>
      <c r="G21" s="76">
        <v>1305380</v>
      </c>
      <c r="H21" s="76">
        <v>0</v>
      </c>
      <c r="I21" s="76">
        <v>0</v>
      </c>
      <c r="J21" s="76">
        <v>83957.350743200004</v>
      </c>
      <c r="K21" s="76">
        <v>1769897.3507431999</v>
      </c>
      <c r="L21" s="76">
        <v>1476619.9997999999</v>
      </c>
      <c r="M21" s="76">
        <v>293277.35094320006</v>
      </c>
      <c r="N21" s="76">
        <v>294385.35094319982</v>
      </c>
      <c r="O21" s="76">
        <v>500283.1291331721</v>
      </c>
      <c r="P21" s="76">
        <v>269800</v>
      </c>
      <c r="Q21" s="76">
        <v>969720</v>
      </c>
      <c r="R21" s="76">
        <v>1035579.9999999999</v>
      </c>
      <c r="S21" s="77">
        <v>137.96441666666701</v>
      </c>
      <c r="T21" s="77">
        <v>143.44999999999999</v>
      </c>
    </row>
    <row r="22" spans="1:20">
      <c r="A22" s="30">
        <v>1990</v>
      </c>
      <c r="B22" s="76">
        <v>62960.954996541062</v>
      </c>
      <c r="C22" s="76">
        <v>90379.997000000003</v>
      </c>
      <c r="D22" s="76">
        <v>201440</v>
      </c>
      <c r="E22" s="76">
        <v>9850.0004000000008</v>
      </c>
      <c r="F22" s="76">
        <v>1513769.0450034589</v>
      </c>
      <c r="G22" s="76">
        <v>1428290</v>
      </c>
      <c r="H22" s="76">
        <v>0</v>
      </c>
      <c r="I22" s="76">
        <v>0</v>
      </c>
      <c r="J22" s="76">
        <v>78500.590370599995</v>
      </c>
      <c r="K22" s="76">
        <v>1856670.5903706001</v>
      </c>
      <c r="L22" s="76">
        <v>1528519.9974</v>
      </c>
      <c r="M22" s="76">
        <v>328150.59297060012</v>
      </c>
      <c r="N22" s="76">
        <v>329363.59297060012</v>
      </c>
      <c r="O22" s="76">
        <v>532879.04500345897</v>
      </c>
      <c r="P22" s="76">
        <v>305590</v>
      </c>
      <c r="Q22" s="76">
        <v>980890</v>
      </c>
      <c r="R22" s="76">
        <v>1122700</v>
      </c>
      <c r="S22" s="77">
        <v>144.79249999999999</v>
      </c>
      <c r="T22" s="77">
        <v>134.4</v>
      </c>
    </row>
    <row r="23" spans="1:20">
      <c r="A23" s="30">
        <v>1991</v>
      </c>
      <c r="B23" s="76">
        <v>79709.222748837463</v>
      </c>
      <c r="C23" s="76">
        <v>141780</v>
      </c>
      <c r="D23" s="76">
        <v>231789.99</v>
      </c>
      <c r="E23" s="76">
        <v>12290</v>
      </c>
      <c r="F23" s="76">
        <v>1621740.7772511626</v>
      </c>
      <c r="G23" s="76">
        <v>1468100</v>
      </c>
      <c r="H23" s="76">
        <v>0</v>
      </c>
      <c r="I23" s="76">
        <v>0</v>
      </c>
      <c r="J23" s="76">
        <v>72058.841124600003</v>
      </c>
      <c r="K23" s="76">
        <v>2005298.8311246</v>
      </c>
      <c r="L23" s="76">
        <v>1622170</v>
      </c>
      <c r="M23" s="76">
        <v>383128.83112460002</v>
      </c>
      <c r="N23" s="76">
        <v>384340.83112460002</v>
      </c>
      <c r="O23" s="76">
        <v>599470.77725116257</v>
      </c>
      <c r="P23" s="76">
        <v>385910</v>
      </c>
      <c r="Q23" s="76">
        <v>1022270</v>
      </c>
      <c r="R23" s="76">
        <v>1082190</v>
      </c>
      <c r="S23" s="77">
        <v>134.70666666666699</v>
      </c>
      <c r="T23" s="77">
        <v>125.2</v>
      </c>
    </row>
    <row r="24" spans="1:20">
      <c r="A24" s="30">
        <v>1992</v>
      </c>
      <c r="B24" s="76">
        <v>76450.517708479514</v>
      </c>
      <c r="C24" s="76">
        <v>124590</v>
      </c>
      <c r="D24" s="76">
        <v>248060</v>
      </c>
      <c r="E24" s="76">
        <v>15510</v>
      </c>
      <c r="F24" s="76">
        <v>1637939.4822915206</v>
      </c>
      <c r="G24" s="76">
        <v>1380290</v>
      </c>
      <c r="H24" s="76">
        <v>0</v>
      </c>
      <c r="I24" s="76">
        <v>0</v>
      </c>
      <c r="J24" s="76">
        <v>71622.67</v>
      </c>
      <c r="K24" s="76">
        <v>2034072.67</v>
      </c>
      <c r="L24" s="76">
        <v>1520390</v>
      </c>
      <c r="M24" s="76">
        <v>513682.66999999993</v>
      </c>
      <c r="N24" s="76">
        <v>514854.66999999993</v>
      </c>
      <c r="O24" s="76">
        <v>638999.48229152046</v>
      </c>
      <c r="P24" s="76">
        <v>388510</v>
      </c>
      <c r="Q24" s="76">
        <v>998940</v>
      </c>
      <c r="R24" s="76">
        <v>991780</v>
      </c>
      <c r="S24" s="77">
        <v>126.651333333333</v>
      </c>
      <c r="T24" s="77">
        <v>124.75</v>
      </c>
    </row>
    <row r="25" spans="1:20">
      <c r="A25" s="30">
        <v>1993</v>
      </c>
      <c r="B25" s="76">
        <v>108618.73149666886</v>
      </c>
      <c r="C25" s="76">
        <v>171170</v>
      </c>
      <c r="D25" s="76">
        <v>259799.99</v>
      </c>
      <c r="E25" s="76">
        <v>16889.999</v>
      </c>
      <c r="F25" s="76">
        <v>1712781.2685033311</v>
      </c>
      <c r="G25" s="76">
        <v>1380780</v>
      </c>
      <c r="H25" s="76">
        <v>0</v>
      </c>
      <c r="I25" s="76">
        <v>0</v>
      </c>
      <c r="J25" s="76">
        <v>98524.342165359994</v>
      </c>
      <c r="K25" s="76">
        <v>2179724.33216536</v>
      </c>
      <c r="L25" s="76">
        <v>1568839.9990000001</v>
      </c>
      <c r="M25" s="76">
        <v>610884.33316535992</v>
      </c>
      <c r="N25" s="76">
        <v>612044.33316535992</v>
      </c>
      <c r="O25" s="76">
        <v>662491.26850333111</v>
      </c>
      <c r="P25" s="76">
        <v>374150</v>
      </c>
      <c r="Q25" s="76">
        <v>1050290</v>
      </c>
      <c r="R25" s="76">
        <v>1006630</v>
      </c>
      <c r="S25" s="77">
        <v>111.197785833333</v>
      </c>
      <c r="T25" s="77">
        <v>111.85</v>
      </c>
    </row>
    <row r="26" spans="1:20">
      <c r="A26" s="30">
        <v>1994</v>
      </c>
      <c r="B26" s="76">
        <v>119049.10034020396</v>
      </c>
      <c r="C26" s="76">
        <v>250880</v>
      </c>
      <c r="D26" s="76">
        <v>275569.89</v>
      </c>
      <c r="E26" s="76">
        <v>19170</v>
      </c>
      <c r="F26" s="76">
        <v>1902510.8996597962</v>
      </c>
      <c r="G26" s="76">
        <v>1463870</v>
      </c>
      <c r="H26" s="76">
        <v>0</v>
      </c>
      <c r="I26" s="76">
        <v>0</v>
      </c>
      <c r="J26" s="76">
        <v>125860.21199861</v>
      </c>
      <c r="K26" s="76">
        <v>2422990.10199861</v>
      </c>
      <c r="L26" s="76">
        <v>1733920</v>
      </c>
      <c r="M26" s="76">
        <v>689070.10199860996</v>
      </c>
      <c r="N26" s="76">
        <v>690314.11603510519</v>
      </c>
      <c r="O26" s="76">
        <v>739640.89965979604</v>
      </c>
      <c r="P26" s="76">
        <v>379790</v>
      </c>
      <c r="Q26" s="76">
        <v>1162870</v>
      </c>
      <c r="R26" s="76">
        <v>1084080</v>
      </c>
      <c r="S26" s="77">
        <v>102.207805833333</v>
      </c>
      <c r="T26" s="77">
        <v>99.74</v>
      </c>
    </row>
    <row r="27" spans="1:20">
      <c r="A27" s="30">
        <v>1995</v>
      </c>
      <c r="B27" s="76">
        <v>146260</v>
      </c>
      <c r="C27" s="76">
        <v>306280</v>
      </c>
      <c r="D27" s="76">
        <v>238451.81</v>
      </c>
      <c r="E27" s="76">
        <v>33509.998</v>
      </c>
      <c r="F27" s="76">
        <v>2060120</v>
      </c>
      <c r="G27" s="76">
        <v>1472620</v>
      </c>
      <c r="H27" s="76">
        <v>3209.1802003306425</v>
      </c>
      <c r="I27" s="76">
        <v>2849.3630263541763</v>
      </c>
      <c r="J27" s="76">
        <v>183249.80972871301</v>
      </c>
      <c r="K27" s="76">
        <v>2631290.7999290433</v>
      </c>
      <c r="L27" s="76">
        <v>1815259.3610263544</v>
      </c>
      <c r="M27" s="76">
        <v>816031.43890268891</v>
      </c>
      <c r="N27" s="76">
        <v>817603.80406849738</v>
      </c>
      <c r="O27" s="76">
        <v>708810</v>
      </c>
      <c r="P27" s="76">
        <v>239140</v>
      </c>
      <c r="Q27" s="76">
        <v>1351310</v>
      </c>
      <c r="R27" s="76">
        <v>1233480</v>
      </c>
      <c r="S27" s="77">
        <v>94.059579166666694</v>
      </c>
      <c r="T27" s="77">
        <v>102.83</v>
      </c>
    </row>
    <row r="28" spans="1:20">
      <c r="A28" s="30">
        <v>1996</v>
      </c>
      <c r="B28" s="76">
        <v>154900</v>
      </c>
      <c r="C28" s="76">
        <v>315649.99</v>
      </c>
      <c r="D28" s="76">
        <v>258612.06</v>
      </c>
      <c r="E28" s="76">
        <v>29940.001</v>
      </c>
      <c r="F28" s="76">
        <v>2017530</v>
      </c>
      <c r="G28" s="76">
        <v>1413290</v>
      </c>
      <c r="H28" s="76">
        <v>3965.5172413793102</v>
      </c>
      <c r="I28" s="76">
        <v>2715.5172413793102</v>
      </c>
      <c r="J28" s="76">
        <v>216648.04350250799</v>
      </c>
      <c r="K28" s="76">
        <v>2651655.6207438875</v>
      </c>
      <c r="L28" s="76">
        <v>1761595.5082413792</v>
      </c>
      <c r="M28" s="76">
        <v>890060.11250250833</v>
      </c>
      <c r="N28" s="76">
        <v>891018.21595078427</v>
      </c>
      <c r="O28" s="76">
        <v>778300</v>
      </c>
      <c r="P28" s="76">
        <v>240600</v>
      </c>
      <c r="Q28" s="76">
        <v>1239230</v>
      </c>
      <c r="R28" s="76">
        <v>1172690</v>
      </c>
      <c r="S28" s="77">
        <v>108.779056666667</v>
      </c>
      <c r="T28" s="77">
        <v>116</v>
      </c>
    </row>
    <row r="29" spans="1:20">
      <c r="A29" s="30">
        <v>1997</v>
      </c>
      <c r="B29" s="76">
        <v>158770</v>
      </c>
      <c r="C29" s="76">
        <v>279530</v>
      </c>
      <c r="D29" s="76">
        <v>271904.27</v>
      </c>
      <c r="E29" s="76">
        <v>27080</v>
      </c>
      <c r="F29" s="76">
        <v>2081570</v>
      </c>
      <c r="G29" s="76">
        <v>1468010</v>
      </c>
      <c r="H29" s="76">
        <v>4405.2327818391686</v>
      </c>
      <c r="I29" s="76">
        <v>4101.2697191227398</v>
      </c>
      <c r="J29" s="76">
        <v>219648.28021599099</v>
      </c>
      <c r="K29" s="76">
        <v>2736297.7829978303</v>
      </c>
      <c r="L29" s="76">
        <v>1778721.2697191227</v>
      </c>
      <c r="M29" s="76">
        <v>957576.51327870763</v>
      </c>
      <c r="N29" s="76">
        <v>958735.21508709551</v>
      </c>
      <c r="O29" s="76">
        <v>743490</v>
      </c>
      <c r="P29" s="76">
        <v>302950</v>
      </c>
      <c r="Q29" s="76">
        <v>1338080</v>
      </c>
      <c r="R29" s="76">
        <v>1165060</v>
      </c>
      <c r="S29" s="77">
        <v>120.99086250000001</v>
      </c>
      <c r="T29" s="77">
        <v>129.94999999999999</v>
      </c>
    </row>
    <row r="30" spans="1:20">
      <c r="A30" s="30">
        <v>1998</v>
      </c>
      <c r="B30" s="76">
        <v>209380</v>
      </c>
      <c r="C30" s="76">
        <v>304329.99</v>
      </c>
      <c r="D30" s="76">
        <v>270037.84000000003</v>
      </c>
      <c r="E30" s="76">
        <v>26070</v>
      </c>
      <c r="F30" s="76">
        <v>2285989.3650519033</v>
      </c>
      <c r="G30" s="76">
        <v>1497747.8185121107</v>
      </c>
      <c r="H30" s="76">
        <v>5092.3157439446368</v>
      </c>
      <c r="I30" s="76">
        <v>4544.256055363322</v>
      </c>
      <c r="J30" s="76">
        <v>215470.67377024901</v>
      </c>
      <c r="K30" s="76">
        <v>2985970.1945660966</v>
      </c>
      <c r="L30" s="76">
        <v>1832692.0645674739</v>
      </c>
      <c r="M30" s="76">
        <v>1153278.1299986227</v>
      </c>
      <c r="N30" s="76">
        <v>1153632.6827667891</v>
      </c>
      <c r="O30" s="76">
        <v>847109.36505190318</v>
      </c>
      <c r="P30" s="76">
        <v>328427.2517301038</v>
      </c>
      <c r="Q30" s="76">
        <v>1438880</v>
      </c>
      <c r="R30" s="76">
        <v>1169320.566782007</v>
      </c>
      <c r="S30" s="77">
        <v>130.90530066666699</v>
      </c>
      <c r="T30" s="77">
        <v>115.6</v>
      </c>
    </row>
    <row r="31" spans="1:20">
      <c r="A31" s="30">
        <v>1999</v>
      </c>
      <c r="B31" s="76">
        <v>285340</v>
      </c>
      <c r="C31" s="76">
        <v>833429.99</v>
      </c>
      <c r="D31" s="76">
        <v>248778.47</v>
      </c>
      <c r="E31" s="76">
        <v>46119.999000000003</v>
      </c>
      <c r="F31" s="76">
        <v>2187377.9647749509</v>
      </c>
      <c r="G31" s="76">
        <v>1301833.4637964773</v>
      </c>
      <c r="H31" s="76">
        <v>4455.6751467710365</v>
      </c>
      <c r="I31" s="76">
        <v>3099.7064579256357</v>
      </c>
      <c r="J31" s="76">
        <v>286916.14244449697</v>
      </c>
      <c r="K31" s="76">
        <v>3012868.2523662192</v>
      </c>
      <c r="L31" s="76">
        <v>2184483.1592544029</v>
      </c>
      <c r="M31" s="76">
        <v>828385.09311181633</v>
      </c>
      <c r="N31" s="76">
        <v>829127.0931118161</v>
      </c>
      <c r="O31" s="76">
        <v>957037.96477495099</v>
      </c>
      <c r="P31" s="76">
        <v>332005.18590998044</v>
      </c>
      <c r="Q31" s="76">
        <v>1230340</v>
      </c>
      <c r="R31" s="76">
        <v>969828.27788649697</v>
      </c>
      <c r="S31" s="77">
        <v>113.90680500000001</v>
      </c>
      <c r="T31" s="77">
        <v>102.2</v>
      </c>
    </row>
    <row r="32" spans="1:20">
      <c r="A32" s="30">
        <v>2000</v>
      </c>
      <c r="B32" s="76">
        <v>262250</v>
      </c>
      <c r="C32" s="76">
        <v>550229.98</v>
      </c>
      <c r="D32" s="76">
        <v>278444.73</v>
      </c>
      <c r="E32" s="76">
        <v>50320</v>
      </c>
      <c r="F32" s="76">
        <v>2064590.6353350738</v>
      </c>
      <c r="G32" s="76">
        <v>1207910.5308964315</v>
      </c>
      <c r="H32" s="76">
        <v>3312.4456048738029</v>
      </c>
      <c r="I32" s="76">
        <v>3188.8598781549167</v>
      </c>
      <c r="J32" s="76">
        <v>354902.08520834101</v>
      </c>
      <c r="K32" s="76">
        <v>2963499.8961482886</v>
      </c>
      <c r="L32" s="76">
        <v>1811649.3707745865</v>
      </c>
      <c r="M32" s="76">
        <v>1151850.5253737022</v>
      </c>
      <c r="N32" s="76">
        <v>1157938.7864703073</v>
      </c>
      <c r="O32" s="76">
        <v>1044230.6353350739</v>
      </c>
      <c r="P32" s="76">
        <v>334089.6431679721</v>
      </c>
      <c r="Q32" s="76">
        <v>1020360</v>
      </c>
      <c r="R32" s="76">
        <v>873820.88772845943</v>
      </c>
      <c r="S32" s="77">
        <v>107.765498333333</v>
      </c>
      <c r="T32" s="77">
        <v>114.9</v>
      </c>
    </row>
    <row r="33" spans="1:20">
      <c r="A33" s="30">
        <v>2001</v>
      </c>
      <c r="B33" s="76">
        <v>227351.28983308037</v>
      </c>
      <c r="C33" s="76">
        <v>376049.99</v>
      </c>
      <c r="D33" s="76">
        <v>300114.56</v>
      </c>
      <c r="E33" s="76">
        <v>50320</v>
      </c>
      <c r="F33" s="76">
        <v>1950631.2594840664</v>
      </c>
      <c r="G33" s="76">
        <v>1091511.3808801214</v>
      </c>
      <c r="H33" s="76">
        <v>2998.4825493171465</v>
      </c>
      <c r="I33" s="76">
        <v>3544.7647951441572</v>
      </c>
      <c r="J33" s="76">
        <v>395155.05077188701</v>
      </c>
      <c r="K33" s="76">
        <v>2876250.6426383508</v>
      </c>
      <c r="L33" s="76">
        <v>1521426.1356752655</v>
      </c>
      <c r="M33" s="76">
        <v>1354824.5069630854</v>
      </c>
      <c r="N33" s="76">
        <v>1360083.0911815984</v>
      </c>
      <c r="O33" s="76">
        <v>1062402.1244309559</v>
      </c>
      <c r="P33" s="76">
        <v>289745.82701062213</v>
      </c>
      <c r="Q33" s="76">
        <v>888229.13505311054</v>
      </c>
      <c r="R33" s="76">
        <v>801765.55386949924</v>
      </c>
      <c r="S33" s="77">
        <v>121.5289475</v>
      </c>
      <c r="T33" s="77">
        <v>131.80000000000001</v>
      </c>
    </row>
    <row r="34" spans="1:20">
      <c r="A34" s="30">
        <v>2002</v>
      </c>
      <c r="B34" s="76">
        <v>210818.26764246108</v>
      </c>
      <c r="C34" s="76">
        <v>339929.99</v>
      </c>
      <c r="D34" s="76">
        <v>304234.03999999998</v>
      </c>
      <c r="E34" s="76">
        <v>78139.998999999996</v>
      </c>
      <c r="F34" s="76">
        <v>2066039.8905285969</v>
      </c>
      <c r="G34" s="76">
        <v>1168138.532925098</v>
      </c>
      <c r="H34" s="76">
        <v>3366.0274693907581</v>
      </c>
      <c r="I34" s="76">
        <v>3707.5145954962468</v>
      </c>
      <c r="J34" s="76">
        <v>461185.62022450101</v>
      </c>
      <c r="K34" s="76">
        <v>3045643.8458649493</v>
      </c>
      <c r="L34" s="76">
        <v>1589916.0365205943</v>
      </c>
      <c r="M34" s="76">
        <v>1455727.809344355</v>
      </c>
      <c r="N34" s="76">
        <v>1462167.0487104936</v>
      </c>
      <c r="O34" s="76">
        <v>1183703.2367587306</v>
      </c>
      <c r="P34" s="76">
        <v>270488.38097376429</v>
      </c>
      <c r="Q34" s="76">
        <v>882336.65376986645</v>
      </c>
      <c r="R34" s="76">
        <v>897650.15195133374</v>
      </c>
      <c r="S34" s="77">
        <v>125.38801916666699</v>
      </c>
      <c r="T34" s="77">
        <v>119.9</v>
      </c>
    </row>
    <row r="35" spans="1:20">
      <c r="A35" s="30">
        <v>2003</v>
      </c>
      <c r="B35" s="76">
        <v>274458.16993464052</v>
      </c>
      <c r="C35" s="76">
        <v>561022.12885154062</v>
      </c>
      <c r="D35" s="76">
        <v>335503.54808590107</v>
      </c>
      <c r="E35" s="76">
        <v>89728.571428571406</v>
      </c>
      <c r="F35" s="76">
        <v>2311887.2082166201</v>
      </c>
      <c r="G35" s="76">
        <v>1328641.923436041</v>
      </c>
      <c r="H35" s="76">
        <v>4895.7049486461256</v>
      </c>
      <c r="I35" s="76">
        <v>6785.5275443510736</v>
      </c>
      <c r="J35" s="76">
        <v>663289.09206898697</v>
      </c>
      <c r="K35" s="76">
        <v>3590033.7232547947</v>
      </c>
      <c r="L35" s="76">
        <v>1986178.151260504</v>
      </c>
      <c r="M35" s="76">
        <v>1603855.5719942907</v>
      </c>
      <c r="N35" s="76">
        <v>1613626.3563080158</v>
      </c>
      <c r="O35" s="76">
        <v>1446858.5434173672</v>
      </c>
      <c r="P35" s="76">
        <v>306143.60410830996</v>
      </c>
      <c r="Q35" s="76">
        <v>865028.66479925311</v>
      </c>
      <c r="R35" s="76">
        <v>1022498.319327731</v>
      </c>
      <c r="S35" s="77">
        <v>115.93346416666699</v>
      </c>
      <c r="T35" s="77">
        <v>107.1</v>
      </c>
    </row>
    <row r="36" spans="1:20">
      <c r="A36" s="30">
        <v>2004</v>
      </c>
      <c r="B36" s="76">
        <v>364691.26142080006</v>
      </c>
      <c r="C36" s="76">
        <v>743302.21884609957</v>
      </c>
      <c r="D36" s="76">
        <v>370541.35638757702</v>
      </c>
      <c r="E36" s="76">
        <v>96986.859389918551</v>
      </c>
      <c r="F36" s="76">
        <v>2583491.7197492179</v>
      </c>
      <c r="G36" s="76">
        <v>1531448.637588368</v>
      </c>
      <c r="H36" s="76">
        <v>5749.7160134698033</v>
      </c>
      <c r="I36" s="76">
        <v>10768.776411832499</v>
      </c>
      <c r="J36" s="76">
        <v>833891.31165003998</v>
      </c>
      <c r="K36" s="76">
        <v>4158365.3652211051</v>
      </c>
      <c r="L36" s="76">
        <v>2382506.4922362184</v>
      </c>
      <c r="M36" s="76">
        <v>1775858.8729848866</v>
      </c>
      <c r="N36" s="76">
        <v>1784486.6517017516</v>
      </c>
      <c r="O36" s="76">
        <v>1644981.6475913289</v>
      </c>
      <c r="P36" s="76">
        <v>410090.34239598183</v>
      </c>
      <c r="Q36" s="76">
        <v>938510.07215788902</v>
      </c>
      <c r="R36" s="76">
        <v>1121358.2951923863</v>
      </c>
      <c r="S36" s="77">
        <v>108.192569166667</v>
      </c>
      <c r="T36" s="77">
        <v>104.12</v>
      </c>
    </row>
    <row r="37" spans="1:20">
      <c r="A37" s="30">
        <v>2005</v>
      </c>
      <c r="B37" s="76">
        <v>408574.72238704754</v>
      </c>
      <c r="C37" s="76">
        <v>1126068.4919894887</v>
      </c>
      <c r="D37" s="76">
        <v>386585.06399932184</v>
      </c>
      <c r="E37" s="76">
        <v>100900.99177757057</v>
      </c>
      <c r="F37" s="76">
        <v>2626414.0035602273</v>
      </c>
      <c r="G37" s="76">
        <v>1498905.3149105704</v>
      </c>
      <c r="H37" s="76">
        <v>26314.656268542851</v>
      </c>
      <c r="I37" s="76">
        <v>33234.212087818938</v>
      </c>
      <c r="J37" s="76">
        <v>834274.87095091399</v>
      </c>
      <c r="K37" s="76">
        <v>4282163.3171660528</v>
      </c>
      <c r="L37" s="76">
        <v>2759109.0107654487</v>
      </c>
      <c r="M37" s="76">
        <v>1523054.3064006041</v>
      </c>
      <c r="N37" s="76">
        <v>1531759.4042220851</v>
      </c>
      <c r="O37" s="76">
        <v>1706314.5715012292</v>
      </c>
      <c r="P37" s="76">
        <v>416352.88632703229</v>
      </c>
      <c r="Q37" s="76">
        <v>920099.43205899803</v>
      </c>
      <c r="R37" s="76">
        <v>1082552.4285835382</v>
      </c>
      <c r="S37" s="77">
        <v>110.218211666667</v>
      </c>
      <c r="T37" s="77">
        <v>117.97</v>
      </c>
    </row>
    <row r="38" spans="1:20" ht="18" customHeight="1">
      <c r="A38" s="30">
        <v>2006</v>
      </c>
      <c r="B38" s="76">
        <v>510419.41512251232</v>
      </c>
      <c r="C38" s="76">
        <v>1254952.7544941572</v>
      </c>
      <c r="D38" s="76">
        <v>449566.98753615108</v>
      </c>
      <c r="E38" s="76">
        <v>107635.78931449211</v>
      </c>
      <c r="F38" s="76">
        <v>2814130.9296944439</v>
      </c>
      <c r="G38" s="76">
        <v>1491023.8576974629</v>
      </c>
      <c r="H38" s="76">
        <v>23026.936266011264</v>
      </c>
      <c r="I38" s="76">
        <v>30155.486338797811</v>
      </c>
      <c r="J38" s="76">
        <v>879681.50085938</v>
      </c>
      <c r="K38" s="76">
        <v>4676825.769478499</v>
      </c>
      <c r="L38" s="76">
        <v>2883767.8878449099</v>
      </c>
      <c r="M38" s="76">
        <v>1793057.881633589</v>
      </c>
      <c r="N38" s="76">
        <v>1808167.606728167</v>
      </c>
      <c r="O38" s="76">
        <v>1833063.9181760699</v>
      </c>
      <c r="P38" s="76">
        <v>507936.9840404978</v>
      </c>
      <c r="Q38" s="76">
        <v>981067.0115183742</v>
      </c>
      <c r="R38" s="76">
        <v>983086.87365696509</v>
      </c>
      <c r="S38" s="77">
        <v>116.29931166666699</v>
      </c>
      <c r="T38" s="77">
        <v>118.95</v>
      </c>
    </row>
    <row r="39" spans="1:20" s="78" customFormat="1" ht="18" customHeight="1">
      <c r="A39" s="30">
        <v>2007</v>
      </c>
      <c r="B39" s="76">
        <v>573469.44457801362</v>
      </c>
      <c r="C39" s="76">
        <v>1245889.7876996491</v>
      </c>
      <c r="D39" s="76">
        <v>542617.71800628444</v>
      </c>
      <c r="E39" s="76">
        <v>132854.39639191265</v>
      </c>
      <c r="F39" s="76">
        <v>3232790.4565179273</v>
      </c>
      <c r="G39" s="76">
        <v>1737980.4924978167</v>
      </c>
      <c r="H39" s="76">
        <v>38961.123286751666</v>
      </c>
      <c r="I39" s="76">
        <v>43546.720175438597</v>
      </c>
      <c r="J39" s="76">
        <v>952784.46109297499</v>
      </c>
      <c r="K39" s="76">
        <v>5340623.2034819527</v>
      </c>
      <c r="L39" s="76">
        <v>3160271.3967648167</v>
      </c>
      <c r="M39" s="76">
        <v>2180351.8067171359</v>
      </c>
      <c r="N39" s="76">
        <v>2194959.385664504</v>
      </c>
      <c r="O39" s="76">
        <v>1950097.2447999811</v>
      </c>
      <c r="P39" s="76">
        <v>696980.9137127226</v>
      </c>
      <c r="Q39" s="76">
        <v>1282693.2117179462</v>
      </c>
      <c r="R39" s="76">
        <v>1040999.578785094</v>
      </c>
      <c r="S39" s="77">
        <v>117.75352916666699</v>
      </c>
      <c r="T39" s="77">
        <v>114</v>
      </c>
    </row>
    <row r="40" spans="1:20" s="78" customFormat="1" ht="18" customHeight="1">
      <c r="A40" s="30">
        <v>2008</v>
      </c>
      <c r="B40" s="76">
        <v>394672.96435123996</v>
      </c>
      <c r="C40" s="76">
        <v>756199.82369145995</v>
      </c>
      <c r="D40" s="76">
        <v>680330.19781263091</v>
      </c>
      <c r="E40" s="76">
        <v>203373.83471074302</v>
      </c>
      <c r="F40" s="76">
        <v>3543994.7449035901</v>
      </c>
      <c r="G40" s="76">
        <v>2186540.234710746</v>
      </c>
      <c r="H40" s="76">
        <v>77377.086501377387</v>
      </c>
      <c r="I40" s="76">
        <v>85521.097520661191</v>
      </c>
      <c r="J40" s="76">
        <v>1009364.7843658</v>
      </c>
      <c r="K40" s="76">
        <v>5705739.7779346388</v>
      </c>
      <c r="L40" s="76">
        <v>3231634.9906336102</v>
      </c>
      <c r="M40" s="76">
        <v>2474104.7873010286</v>
      </c>
      <c r="N40" s="76">
        <v>2489379.1509373975</v>
      </c>
      <c r="O40" s="76">
        <v>1981987.0336088201</v>
      </c>
      <c r="P40" s="76">
        <v>785479.96143250598</v>
      </c>
      <c r="Q40" s="76">
        <v>1562007.71129477</v>
      </c>
      <c r="R40" s="76">
        <v>1401060.2732782399</v>
      </c>
      <c r="S40" s="77">
        <v>103.359493968254</v>
      </c>
      <c r="T40" s="77">
        <v>90.75</v>
      </c>
    </row>
    <row r="41" spans="1:20" s="78" customFormat="1" ht="18" customHeight="1">
      <c r="A41" s="30">
        <v>2009</v>
      </c>
      <c r="B41" s="76">
        <v>594036.85713899403</v>
      </c>
      <c r="C41" s="76">
        <v>829589.23962633102</v>
      </c>
      <c r="D41" s="76">
        <v>740926.60165426193</v>
      </c>
      <c r="E41" s="76">
        <v>200143.55311753199</v>
      </c>
      <c r="F41" s="76">
        <v>3594408.6389311403</v>
      </c>
      <c r="G41" s="76">
        <v>2026590.9511915301</v>
      </c>
      <c r="H41" s="76">
        <v>46179.577449489501</v>
      </c>
      <c r="I41" s="76">
        <v>56629.686074299301</v>
      </c>
      <c r="J41" s="76">
        <v>1022235.97052888</v>
      </c>
      <c r="K41" s="76">
        <v>5997787.6457027663</v>
      </c>
      <c r="L41" s="76">
        <v>3112953.4300096924</v>
      </c>
      <c r="M41" s="76">
        <v>2884834.2156930738</v>
      </c>
      <c r="N41" s="76">
        <v>2913812.0095231831</v>
      </c>
      <c r="O41" s="76">
        <v>2251814.9337388701</v>
      </c>
      <c r="P41" s="76">
        <v>707412.18878992007</v>
      </c>
      <c r="Q41" s="76">
        <v>1342593.70519227</v>
      </c>
      <c r="R41" s="76">
        <v>1319178.7624016101</v>
      </c>
      <c r="S41" s="77">
        <v>93.570089087045702</v>
      </c>
      <c r="T41" s="77">
        <v>92.06</v>
      </c>
    </row>
    <row r="42" spans="1:20" s="78" customFormat="1" ht="18" customHeight="1">
      <c r="A42" s="30">
        <v>2010</v>
      </c>
      <c r="B42" s="79">
        <v>678481.659914057</v>
      </c>
      <c r="C42" s="79">
        <v>988790.62001227692</v>
      </c>
      <c r="D42" s="79">
        <v>831075.6813186669</v>
      </c>
      <c r="E42" s="79">
        <v>214879.71639042298</v>
      </c>
      <c r="F42" s="79">
        <v>4219090.2381829396</v>
      </c>
      <c r="G42" s="79">
        <v>2467786.139226689</v>
      </c>
      <c r="H42" s="79">
        <v>52628.634745242496</v>
      </c>
      <c r="I42" s="79">
        <v>64664.529158993202</v>
      </c>
      <c r="J42" s="79">
        <v>1061489.8600471499</v>
      </c>
      <c r="K42" s="79">
        <v>6842766.0742080566</v>
      </c>
      <c r="L42" s="79">
        <v>3736121.004788382</v>
      </c>
      <c r="M42" s="79">
        <v>3106645.0694196746</v>
      </c>
      <c r="N42" s="79">
        <v>3141877.6513717948</v>
      </c>
      <c r="O42" s="79">
        <v>2626696.3007980399</v>
      </c>
      <c r="P42" s="76">
        <v>878015.18354818888</v>
      </c>
      <c r="Q42" s="76">
        <v>1592393.9373848999</v>
      </c>
      <c r="R42" s="76">
        <v>1589770.9556785</v>
      </c>
      <c r="S42" s="77">
        <v>87.779875000000004</v>
      </c>
      <c r="T42" s="77">
        <v>81.45</v>
      </c>
    </row>
    <row r="43" spans="1:20" s="78" customFormat="1" ht="18" customHeight="1">
      <c r="A43" s="30">
        <v>2011</v>
      </c>
      <c r="B43" s="79">
        <v>665849.05043746799</v>
      </c>
      <c r="C43" s="79">
        <v>847162.08569222898</v>
      </c>
      <c r="D43" s="79">
        <v>955854.37539732398</v>
      </c>
      <c r="E43" s="79">
        <v>225787.35717961896</v>
      </c>
      <c r="F43" s="79">
        <v>4513201.0267627398</v>
      </c>
      <c r="G43" s="79">
        <v>2921451.4893384995</v>
      </c>
      <c r="H43" s="79">
        <v>53884.053010807998</v>
      </c>
      <c r="I43" s="79">
        <v>72580.5648481729</v>
      </c>
      <c r="J43" s="79">
        <v>1258172.4407530201</v>
      </c>
      <c r="K43" s="79">
        <v>7446960.9463613601</v>
      </c>
      <c r="L43" s="79">
        <v>4066981.4970585206</v>
      </c>
      <c r="M43" s="79">
        <v>3379979.4493028396</v>
      </c>
      <c r="N43" s="79">
        <v>3415193.2774037188</v>
      </c>
      <c r="O43" s="79">
        <v>2709395.2534740097</v>
      </c>
      <c r="P43" s="76">
        <v>1179093.1999485299</v>
      </c>
      <c r="Q43" s="76">
        <v>1803805.7732887298</v>
      </c>
      <c r="R43" s="76">
        <v>1742358.2893899698</v>
      </c>
      <c r="S43" s="77">
        <v>79.807019832189198</v>
      </c>
      <c r="T43" s="77">
        <v>77.72</v>
      </c>
    </row>
    <row r="44" spans="1:20" s="78" customFormat="1" ht="18" customHeight="1">
      <c r="A44" s="30">
        <v>2012</v>
      </c>
      <c r="B44" s="79">
        <v>687169.57342967007</v>
      </c>
      <c r="C44" s="79">
        <v>965403.32285338</v>
      </c>
      <c r="D44" s="79">
        <v>1037698.1676135099</v>
      </c>
      <c r="E44" s="79">
        <v>205752.39262604</v>
      </c>
      <c r="F44" s="79">
        <v>4604600.7919920394</v>
      </c>
      <c r="G44" s="79">
        <v>2991361.9549294799</v>
      </c>
      <c r="H44" s="79">
        <v>53417.022884529193</v>
      </c>
      <c r="I44" s="79">
        <v>61537.200462160596</v>
      </c>
      <c r="J44" s="79">
        <v>1227147.0660908001</v>
      </c>
      <c r="K44" s="79">
        <v>7610032.6220105486</v>
      </c>
      <c r="L44" s="79">
        <v>4224054.8708710605</v>
      </c>
      <c r="M44" s="79">
        <v>3385977.7511394881</v>
      </c>
      <c r="N44" s="80">
        <v>3423626.2213879083</v>
      </c>
      <c r="O44" s="79">
        <v>2838097.0929545797</v>
      </c>
      <c r="P44" s="78">
        <v>1120144.11217902</v>
      </c>
      <c r="Q44" s="78">
        <v>1766503.6990374599</v>
      </c>
      <c r="R44" s="78">
        <v>1871217.8427504599</v>
      </c>
      <c r="S44" s="78">
        <v>79.790455417006498</v>
      </c>
      <c r="T44" s="78">
        <v>86.55</v>
      </c>
    </row>
    <row r="45" spans="1:20" s="78" customFormat="1" ht="18" customHeight="1">
      <c r="A45" s="30">
        <v>2013</v>
      </c>
      <c r="B45" s="30"/>
      <c r="C45" s="30"/>
      <c r="D45" s="30"/>
      <c r="E45" s="30"/>
      <c r="F45" s="30"/>
      <c r="G45" s="30"/>
      <c r="H45" s="30"/>
      <c r="I45" s="30"/>
      <c r="J45" s="30"/>
      <c r="K45" s="30"/>
      <c r="L45" s="30"/>
      <c r="M45" s="79"/>
      <c r="N45" s="30"/>
      <c r="O45" s="30"/>
      <c r="S45" s="78">
        <v>97.595658277638506</v>
      </c>
      <c r="T45" s="78">
        <v>105.3</v>
      </c>
    </row>
    <row r="46" spans="1:20" s="11" customFormat="1" ht="15">
      <c r="A46" s="75"/>
      <c r="B46" s="75"/>
      <c r="C46" s="75"/>
      <c r="D46" s="75"/>
      <c r="E46" s="75"/>
      <c r="F46" s="75"/>
      <c r="G46" s="75"/>
      <c r="H46" s="75"/>
      <c r="I46" s="75"/>
      <c r="J46" s="75"/>
      <c r="K46" s="75"/>
      <c r="L46" s="75"/>
      <c r="M46" s="75"/>
      <c r="N46" s="75"/>
      <c r="O46" s="75"/>
    </row>
    <row r="47" spans="1:20" s="11" customFormat="1" ht="15">
      <c r="A47" s="11" t="s">
        <v>484</v>
      </c>
    </row>
    <row r="48" spans="1:20" s="11" customFormat="1" ht="15">
      <c r="A48" s="49" t="s">
        <v>206</v>
      </c>
    </row>
    <row r="49" spans="1:1" s="11" customFormat="1" ht="15">
      <c r="A49" s="11" t="s">
        <v>383</v>
      </c>
    </row>
    <row r="50" spans="1:1" s="11" customFormat="1" ht="15"/>
  </sheetData>
  <phoneticPr fontId="4"/>
  <hyperlinks>
    <hyperlink ref="A48" r:id="rId1"/>
  </hyperlinks>
  <pageMargins left="0.7" right="0.7" top="0.75" bottom="0.75" header="0.3" footer="0.3"/>
  <pageSetup orientation="portrait" horizontalDpi="4294967292" verticalDpi="4294967292"/>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26</vt:i4>
      </vt:variant>
    </vt:vector>
  </HeadingPairs>
  <TitlesOfParts>
    <vt:vector size="26" baseType="lpstr">
      <vt:lpstr>Figure1</vt:lpstr>
      <vt:lpstr>Figure2</vt:lpstr>
      <vt:lpstr>Figure3</vt:lpstr>
      <vt:lpstr>Figure4</vt:lpstr>
      <vt:lpstr>Figure5</vt:lpstr>
      <vt:lpstr>Table1</vt:lpstr>
      <vt:lpstr>Table2</vt:lpstr>
      <vt:lpstr>Table3</vt:lpstr>
      <vt:lpstr>NFA in dollar</vt:lpstr>
      <vt:lpstr>NFA_in_yen</vt:lpstr>
      <vt:lpstr>Balance_on_income</vt:lpstr>
      <vt:lpstr>yield</vt:lpstr>
      <vt:lpstr>Stock-flow</vt:lpstr>
      <vt:lpstr>Total_return</vt:lpstr>
      <vt:lpstr>FX_effect</vt:lpstr>
      <vt:lpstr>Composition_effect</vt:lpstr>
      <vt:lpstr>NFA and Cumulated CA</vt:lpstr>
      <vt:lpstr>NFA_comparison</vt:lpstr>
      <vt:lpstr>Income_Puzzle</vt:lpstr>
      <vt:lpstr>Composition_A_L</vt:lpstr>
      <vt:lpstr>Debt_Composition</vt:lpstr>
      <vt:lpstr>1977-2013</vt:lpstr>
      <vt:lpstr>Japan_other_studies</vt:lpstr>
      <vt:lpstr>Other_countries</vt:lpstr>
      <vt:lpstr>including_derivatives</vt:lpstr>
      <vt:lpstr>derivatives_table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 Tashiro</dc:creator>
  <cp:lastModifiedBy>Tashiro Takeshi</cp:lastModifiedBy>
  <cp:lastPrinted>2014-05-14T10:30:32Z</cp:lastPrinted>
  <dcterms:created xsi:type="dcterms:W3CDTF">2014-03-11T23:56:49Z</dcterms:created>
  <dcterms:modified xsi:type="dcterms:W3CDTF">2014-11-15T07:56:42Z</dcterms:modified>
</cp:coreProperties>
</file>